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llocations\Grant allocations\2019-20\Teaching\Grant tables\Outputs\Spring\Sector\"/>
    </mc:Choice>
  </mc:AlternateContent>
  <bookViews>
    <workbookView xWindow="0" yWindow="45" windowWidth="5745" windowHeight="5670" tabRatio="769"/>
  </bookViews>
  <sheets>
    <sheet name="Information" sheetId="79" r:id="rId1"/>
    <sheet name="A Summary" sheetId="77" r:id="rId2"/>
    <sheet name="B High-cost" sheetId="22" r:id="rId3"/>
    <sheet name="C Student premium" sheetId="30" r:id="rId4"/>
    <sheet name="D Erasmus+" sheetId="78" r:id="rId5"/>
    <sheet name="E NMAH supplement" sheetId="80" r:id="rId6"/>
    <sheet name="F Very high-cost STEM subjects" sheetId="94" r:id="rId7"/>
    <sheet name="G Other TAs" sheetId="43" r:id="rId8"/>
    <sheet name="H Parameters" sheetId="17" r:id="rId9"/>
  </sheets>
  <definedNames>
    <definedName name="A_datacols1">'A Summary'!$C$31</definedName>
    <definedName name="A_datacols2">'A Summary'!$E$31</definedName>
    <definedName name="A_rowtags1">'A Summary'!$H$5</definedName>
    <definedName name="A_rowtags2">'A Summary'!$H$7:$H$22</definedName>
    <definedName name="A_rowtags3">'A Summary'!$J$26:$J$29</definedName>
    <definedName name="A_rowvars">'A Summary'!$H$4</definedName>
    <definedName name="ACCL_TA">'G Other TAs'!$M$4</definedName>
    <definedName name="B_datacols1">'B High-cost'!$D$56:$K$56</definedName>
    <definedName name="B_datacols2">'B High-cost'!$M$56:$P$56</definedName>
    <definedName name="B_rowtags">'B High-cost'!$R$5:$T$46</definedName>
    <definedName name="B_rowvars">'B High-cost'!$R$4:$T$4</definedName>
    <definedName name="C_datacols">'C Student premium'!$E$80</definedName>
    <definedName name="C_rowtags1">'C Student premium'!$H$6:$H$13</definedName>
    <definedName name="C_rowtags11">'C Student premium'!$H$54:$H$56</definedName>
    <definedName name="C_rowtags12">'C Student premium'!$H$62:$H$63</definedName>
    <definedName name="C_rowtags13">'C Student premium'!$H$65:$H$68</definedName>
    <definedName name="C_rowtags15">'C Student premium'!$H$70:$H$71</definedName>
    <definedName name="C_rowtags16">'C Student premium'!$H$73:$H$75</definedName>
    <definedName name="C_rowtags2">'C Student premium'!$H$15:$H$18</definedName>
    <definedName name="C_rowtags4">'C Student premium'!$H$20:$H$23</definedName>
    <definedName name="C_rowtags5">'C Student premium'!$H$29:$H$36</definedName>
    <definedName name="C_rowtags6">'C Student premium'!$H$38:$H$42</definedName>
    <definedName name="C_rowtags8">'C Student premium'!$H$44:$H$47</definedName>
    <definedName name="C_rowtags9">'C Student premium'!$H$52</definedName>
    <definedName name="C_rowvars">'C Student premium'!$H$5</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rowtags">'D Erasmus+'!$I$7:$I$8</definedName>
    <definedName name="D_rowvars">'D Erasmus+'!$I$6</definedName>
    <definedName name="DATE">'A Summary'!$J$4</definedName>
    <definedName name="DENINTAR">'A Summary'!$K$28</definedName>
    <definedName name="DENINTAR_ISOV">'A Summary'!$K$29</definedName>
    <definedName name="DIS_WHCOUNT">'C Student premium'!$J$65</definedName>
    <definedName name="DISABLED">'C Student premium'!$A$60</definedName>
    <definedName name="E_coltags1">'E NMAH supplement'!$C$47:$E$47</definedName>
    <definedName name="E_coltags2">'E NMAH supplement'!$F$47:$H$47</definedName>
    <definedName name="E_coltags3">'E NMAH supplement'!$I$47:$M$47</definedName>
    <definedName name="E_colvars">'E NMAH supplement'!$A$47</definedName>
    <definedName name="E_datacols">'E NMAH supplement'!$C$48:$M$48</definedName>
    <definedName name="E_rowtags">'E NMAH supplement'!$O$7:$P$42</definedName>
    <definedName name="E_rowvars">'E NMAH supplement'!$O$6:$P$6</definedName>
    <definedName name="ERAS_TA">'D Erasmus+'!$G$4</definedName>
    <definedName name="F_datacols">'F Very high-cost STEM subjects'!$C$16</definedName>
    <definedName name="F_rowtags1">'F Very high-cost STEM subjects'!$E$6:$E$10</definedName>
    <definedName name="F_rowtags2">'F Very high-cost STEM subjects'!$E$12</definedName>
    <definedName name="F_rowvars">'F Very high-cost STEM subjects'!$E$5</definedName>
    <definedName name="G_datacols1">'G Other TAs'!$E$98:$N$98</definedName>
    <definedName name="G_datacols2">'G Other TAs'!$P$98:$U$98</definedName>
    <definedName name="G_rowtags">'G Other TAs'!$W$5:$Z$84</definedName>
    <definedName name="G_rowvars">'G Other TAs'!$W$4:$Z$4</definedName>
    <definedName name="H_datacols">'H Parameters'!$B$61</definedName>
    <definedName name="H_rowtags">'H Parameters'!$J$56:$J$59</definedName>
    <definedName name="H_rowvars">'H Parameters'!$J$55</definedName>
    <definedName name="HEALTH_TA">'E NMAH supplement'!$M$4</definedName>
    <definedName name="HIGHCOST">'B High-cost'!$K$4</definedName>
    <definedName name="INT_TA">'G Other TAs'!$L$4</definedName>
    <definedName name="LOND_TA">'G Other TAs'!$N$4</definedName>
    <definedName name="MEDINTAR">'A Summary'!$K$26</definedName>
    <definedName name="MEDINTAR_ISOV">'A Summary'!$K$27</definedName>
    <definedName name="PGTS_TA">'G Other TAs'!$K$4</definedName>
    <definedName name="_xlnm.Print_Area" localSheetId="1">'A Summary'!$A$1:$E$29</definedName>
    <definedName name="_xlnm.Print_Area" localSheetId="2">'B High-cost'!$A$1:$P$54</definedName>
    <definedName name="_xlnm.Print_Area" localSheetId="3">'C Student premium'!$A$1:$F$78</definedName>
    <definedName name="_xlnm.Print_Area" localSheetId="4">'D Erasmus+'!$A$1:$G$9</definedName>
    <definedName name="_xlnm.Print_Area" localSheetId="5">'E NMAH supplement'!$A$1:$M$45</definedName>
    <definedName name="_xlnm.Print_Area" localSheetId="6">'F Very high-cost STEM subjects'!$A$1:$E$15</definedName>
    <definedName name="_xlnm.Print_Area" localSheetId="7">'G Other TAs'!$A$1:$V$96</definedName>
    <definedName name="_xlnm.Print_Area" localSheetId="8">'H Parameters'!$A$1:$H$59</definedName>
    <definedName name="_xlnm.Print_Area" localSheetId="0">Information!$A$1:$R$15</definedName>
    <definedName name="_xlnm.Print_Titles" localSheetId="7">'G Other TAs'!$A:$D,'G Other TAs'!$1:$4</definedName>
    <definedName name="PROVIDER">'A Summary'!$J$2</definedName>
    <definedName name="SP_FT">'C Student premium'!$A$4</definedName>
    <definedName name="SP_PT">'C Student premium'!$A$51</definedName>
    <definedName name="SPDISPOP">'C Student premium'!$J$66</definedName>
    <definedName name="SPDSAALLOC">'C Student premium'!$J$62</definedName>
    <definedName name="SPSDALLOC">'C Student premium'!$J$63</definedName>
    <definedName name="SPSECTORFLAG">'A Summary'!$L$2</definedName>
    <definedName name="TABLEA">'A Summary'!$A$1</definedName>
    <definedName name="TABLEB">'B High-cost'!$A$1</definedName>
    <definedName name="TABLEC">'C Student premium'!$A$1</definedName>
    <definedName name="TABLED">'D Erasmus+'!$A$1</definedName>
    <definedName name="TABLEE">'E NMAH supplement'!$A$1</definedName>
    <definedName name="TABLEF" comment="Provider">'F Very high-cost STEM subjects'!$A$1</definedName>
    <definedName name="TABLEG">'G Other TAs'!$A$1</definedName>
    <definedName name="TABLEH">'H Parameters'!$A$1</definedName>
    <definedName name="TB_datacols1">#REF!</definedName>
    <definedName name="TB_datacols2">#REF!</definedName>
    <definedName name="TB_rowtags">#REF!</definedName>
    <definedName name="TB_rowvars">#REF!</definedName>
    <definedName name="TD_coltags1">#REF!</definedName>
    <definedName name="TD_coltags2">#REF!</definedName>
    <definedName name="TD_colvars">#REF!</definedName>
    <definedName name="TD_datacols">#REF!</definedName>
    <definedName name="TD_rowtags">#REF!</definedName>
    <definedName name="TD_rowvars">#REF!</definedName>
    <definedName name="TE_coltags1">#REF!</definedName>
    <definedName name="TE_coltags2">#REF!</definedName>
    <definedName name="TE_colvars">#REF!</definedName>
    <definedName name="TE_datacols">#REF!</definedName>
    <definedName name="TE_rowtags">#REF!</definedName>
    <definedName name="TE_rowvars">#REF!</definedName>
    <definedName name="TEMPLATEB">#REF!</definedName>
    <definedName name="TEMPLATEC">'C Student premium'!#REF!</definedName>
    <definedName name="TEMPLATED">#REF!</definedName>
    <definedName name="TEMPLATEE">#REF!</definedName>
    <definedName name="TemplateF">'F Very high-cost STEM subjects'!#REF!</definedName>
    <definedName name="TEMPLATEG">#REF!</definedName>
    <definedName name="TG_datacols1">#REF!</definedName>
    <definedName name="TG_datacols2">#REF!</definedName>
    <definedName name="TG_rowtags">#REF!</definedName>
    <definedName name="TG_rowvars">#REF!</definedName>
    <definedName name="UKPRN">'A Summary'!$K$2</definedName>
    <definedName name="VHCSS">'F Very high-cost STEM subjects'!$B$12</definedName>
  </definedNames>
  <calcPr calcId="152511" forceFullCalc="1"/>
</workbook>
</file>

<file path=xl/calcChain.xml><?xml version="1.0" encoding="utf-8"?>
<calcChain xmlns="http://schemas.openxmlformats.org/spreadsheetml/2006/main">
  <c r="N47" i="22" l="1"/>
  <c r="K44" i="80" l="1"/>
  <c r="K43" i="80"/>
  <c r="M43" i="80"/>
  <c r="C29" i="77" l="1"/>
  <c r="C27" i="77"/>
  <c r="C28" i="77"/>
  <c r="C26" i="77" l="1"/>
  <c r="Q86" i="43" l="1"/>
  <c r="M44" i="80"/>
  <c r="L44" i="80"/>
  <c r="L43" i="80"/>
  <c r="J44" i="80"/>
  <c r="J43" i="80"/>
  <c r="I43" i="80"/>
  <c r="I45" i="80" s="1"/>
  <c r="J45" i="80" l="1"/>
  <c r="U89" i="43" l="1"/>
  <c r="U90" i="43"/>
  <c r="U86" i="43"/>
  <c r="U85" i="43"/>
  <c r="T85" i="43"/>
  <c r="T93" i="43" s="1"/>
  <c r="S90" i="43"/>
  <c r="S86" i="43"/>
  <c r="R90" i="43"/>
  <c r="R89" i="43"/>
  <c r="R85" i="43"/>
  <c r="R86" i="43"/>
  <c r="Q90" i="43"/>
  <c r="Q89" i="43"/>
  <c r="Q85" i="43"/>
  <c r="E88" i="43"/>
  <c r="E87" i="43"/>
  <c r="E86" i="43"/>
  <c r="E85" i="43"/>
  <c r="U93" i="43" l="1"/>
  <c r="S93" i="43"/>
  <c r="A13" i="79" l="1"/>
  <c r="A15" i="79" l="1"/>
  <c r="A14" i="79"/>
  <c r="N48" i="22" l="1"/>
  <c r="N51" i="22" s="1"/>
  <c r="O47" i="22"/>
  <c r="Q93" i="43" l="1"/>
  <c r="J6" i="77"/>
  <c r="K88" i="43" l="1"/>
  <c r="H45" i="80" l="1"/>
  <c r="G45" i="80"/>
  <c r="F45" i="80"/>
  <c r="E45" i="80"/>
  <c r="D45" i="80"/>
  <c r="H44" i="80"/>
  <c r="G44" i="80"/>
  <c r="E44" i="80"/>
  <c r="D44" i="80"/>
  <c r="L45" i="80"/>
  <c r="H43" i="80"/>
  <c r="G43" i="80"/>
  <c r="F43" i="80"/>
  <c r="E43" i="80"/>
  <c r="D43" i="80"/>
  <c r="K45" i="80" l="1"/>
  <c r="M45" i="80"/>
  <c r="A12" i="79" l="1"/>
  <c r="A11" i="79"/>
  <c r="A10" i="79"/>
  <c r="A9" i="79"/>
  <c r="J7" i="77" l="1"/>
  <c r="A4" i="79"/>
  <c r="J8" i="77" l="1"/>
  <c r="A1" i="80" l="1"/>
  <c r="A1" i="43"/>
  <c r="A1" i="17"/>
  <c r="A1" i="30"/>
  <c r="A1" i="78"/>
  <c r="A1" i="77"/>
  <c r="A1" i="94" s="1"/>
  <c r="A1" i="22"/>
  <c r="P85" i="43" l="1"/>
  <c r="M4" i="79" l="1"/>
  <c r="L4" i="79"/>
  <c r="K4" i="79"/>
  <c r="J4" i="79"/>
  <c r="I4" i="79"/>
  <c r="H4" i="79"/>
  <c r="G4" i="79"/>
  <c r="F4" i="79"/>
  <c r="E4" i="79"/>
  <c r="D4" i="79"/>
  <c r="C4" i="79"/>
  <c r="B4" i="79"/>
  <c r="B8" i="80" l="1"/>
  <c r="B14" i="80" l="1"/>
  <c r="B22" i="80"/>
  <c r="B30" i="80"/>
  <c r="B38" i="80"/>
  <c r="B10" i="80"/>
  <c r="B18" i="80"/>
  <c r="B26" i="80"/>
  <c r="B34" i="80"/>
  <c r="B42" i="80"/>
  <c r="B12" i="80"/>
  <c r="B16" i="80"/>
  <c r="B20" i="80"/>
  <c r="B24" i="80"/>
  <c r="B28" i="80"/>
  <c r="B32" i="80"/>
  <c r="B36" i="80"/>
  <c r="B40" i="80"/>
  <c r="B44" i="80"/>
  <c r="H89" i="43" l="1"/>
  <c r="H85" i="43"/>
  <c r="G90" i="43"/>
  <c r="G86" i="43"/>
  <c r="P48" i="22"/>
  <c r="P47" i="22"/>
  <c r="O48" i="22"/>
  <c r="G47" i="22"/>
  <c r="G51" i="22" s="1"/>
  <c r="F48" i="22"/>
  <c r="F51" i="22" s="1"/>
  <c r="H93" i="43" l="1"/>
  <c r="G93" i="43"/>
  <c r="P51" i="22"/>
  <c r="O51" i="22"/>
  <c r="F85" i="43" l="1"/>
  <c r="E47" i="22"/>
  <c r="R93" i="43" l="1"/>
  <c r="A5" i="79"/>
  <c r="C45" i="80" l="1"/>
  <c r="C43" i="80"/>
  <c r="M47" i="22" l="1"/>
  <c r="M51" i="22" s="1"/>
  <c r="P89" i="43"/>
  <c r="P93" i="43" l="1"/>
  <c r="E9" i="78"/>
  <c r="D9" i="78"/>
  <c r="G9" i="78"/>
  <c r="F9" i="78"/>
  <c r="C9" i="78"/>
  <c r="B9" i="78"/>
  <c r="N92" i="43" l="1"/>
  <c r="N86" i="43"/>
  <c r="N85" i="43"/>
  <c r="M85" i="43"/>
  <c r="M93" i="43" s="1"/>
  <c r="L92" i="43"/>
  <c r="L91" i="43"/>
  <c r="L90" i="43"/>
  <c r="L88" i="43"/>
  <c r="L87" i="43"/>
  <c r="L86" i="43"/>
  <c r="L93" i="43" l="1"/>
  <c r="K92" i="43"/>
  <c r="I85" i="43"/>
  <c r="F89" i="43"/>
  <c r="K50" i="22"/>
  <c r="J50" i="22"/>
  <c r="K49" i="22"/>
  <c r="J49" i="22"/>
  <c r="K48" i="22"/>
  <c r="J48" i="22"/>
  <c r="K47" i="22"/>
  <c r="J47" i="22"/>
  <c r="I48" i="22"/>
  <c r="I49" i="22"/>
  <c r="I50" i="22"/>
  <c r="I47" i="22"/>
  <c r="H47" i="22"/>
  <c r="H51" i="22" s="1"/>
  <c r="E51" i="22"/>
  <c r="K93" i="43" l="1"/>
  <c r="F93" i="43"/>
  <c r="A3" i="77" l="1"/>
  <c r="A8" i="79" s="1"/>
  <c r="J92" i="43" l="1"/>
  <c r="I92" i="43"/>
  <c r="N91" i="43"/>
  <c r="J91" i="43"/>
  <c r="I91" i="43"/>
  <c r="N90" i="43"/>
  <c r="J90" i="43"/>
  <c r="I90" i="43"/>
  <c r="N89" i="43"/>
  <c r="J89" i="43"/>
  <c r="I89" i="43"/>
  <c r="N88" i="43"/>
  <c r="J88" i="43"/>
  <c r="I88" i="43"/>
  <c r="N87" i="43"/>
  <c r="J87" i="43"/>
  <c r="I87" i="43"/>
  <c r="J86" i="43"/>
  <c r="I86" i="43"/>
  <c r="J85" i="43"/>
  <c r="E92" i="43"/>
  <c r="E91" i="43"/>
  <c r="E90" i="43"/>
  <c r="E89" i="43"/>
  <c r="N93" i="43" l="1"/>
  <c r="I93" i="43"/>
  <c r="J93" i="43"/>
  <c r="E93" i="43"/>
  <c r="C7" i="43" l="1"/>
  <c r="C87" i="43"/>
  <c r="C91" i="43"/>
  <c r="C19" i="43"/>
  <c r="C86" i="43"/>
  <c r="C90" i="43"/>
  <c r="C88" i="43"/>
  <c r="C92" i="43"/>
  <c r="C9" i="43"/>
  <c r="C83" i="43"/>
  <c r="C60" i="43"/>
  <c r="C67" i="43"/>
  <c r="C59" i="43"/>
  <c r="C58" i="43"/>
  <c r="C79" i="43"/>
  <c r="C81" i="43"/>
  <c r="C71" i="43"/>
  <c r="C73" i="43"/>
  <c r="C75" i="43"/>
  <c r="C63" i="43"/>
  <c r="C65" i="43"/>
  <c r="C51" i="43"/>
  <c r="C53" i="43"/>
  <c r="C55" i="43"/>
  <c r="C43" i="43"/>
  <c r="C45" i="43"/>
  <c r="C47" i="43"/>
  <c r="C35" i="43"/>
  <c r="C27" i="43"/>
  <c r="C37" i="43"/>
  <c r="C39" i="43"/>
  <c r="C29" i="43"/>
  <c r="C31" i="43"/>
  <c r="C21" i="43"/>
  <c r="C23" i="43"/>
  <c r="C13" i="43"/>
  <c r="C15" i="43"/>
  <c r="C12" i="22" l="1"/>
  <c r="C10" i="22"/>
  <c r="C6" i="22"/>
  <c r="C9" i="22"/>
  <c r="C7" i="22"/>
  <c r="C33" i="22"/>
  <c r="C48" i="22"/>
  <c r="C49" i="22"/>
  <c r="C50" i="22"/>
  <c r="C44" i="22"/>
  <c r="C45" i="22"/>
  <c r="C46" i="22"/>
  <c r="C40" i="22"/>
  <c r="C41" i="22"/>
  <c r="C42" i="22"/>
  <c r="C36" i="22"/>
  <c r="C37" i="22"/>
  <c r="C38" i="22"/>
  <c r="C32" i="22"/>
  <c r="C34" i="22"/>
  <c r="C17" i="22"/>
  <c r="C28" i="22"/>
  <c r="C29" i="22"/>
  <c r="C30" i="22"/>
  <c r="C24" i="22"/>
  <c r="C25" i="22"/>
  <c r="C26" i="22"/>
  <c r="C20" i="22"/>
  <c r="C21" i="22"/>
  <c r="C22" i="22"/>
  <c r="C16" i="22"/>
  <c r="C18" i="22"/>
  <c r="C14" i="22"/>
  <c r="C13" i="22"/>
  <c r="D50" i="22" l="1"/>
  <c r="D49" i="22"/>
  <c r="D48" i="22"/>
  <c r="K51" i="22" l="1"/>
  <c r="D47" i="22" l="1"/>
  <c r="D51" i="22" s="1"/>
  <c r="J51" i="22" l="1"/>
  <c r="I51" i="22"/>
</calcChain>
</file>

<file path=xl/sharedStrings.xml><?xml version="1.0" encoding="utf-8"?>
<sst xmlns="http://schemas.openxmlformats.org/spreadsheetml/2006/main" count="1153" uniqueCount="321">
  <si>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</si>
  <si>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</si>
  <si>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</si>
  <si>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</si>
  <si>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</si>
  <si>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</si>
  <si>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</si>
  <si>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</si>
  <si>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</si>
  <si>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</si>
  <si>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</si>
  <si>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</si>
  <si>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</si>
  <si>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</si>
  <si>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</si>
  <si>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</si>
  <si>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</si>
  <si>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</si>
  <si>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</si>
  <si>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</si>
  <si>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</si>
  <si>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DISFTE</t>
  </si>
  <si>
    <t>Senior academic GPs' pay</t>
  </si>
  <si>
    <t>S</t>
  </si>
  <si>
    <t>L</t>
  </si>
  <si>
    <t>Scaling factor</t>
  </si>
  <si>
    <t>C1</t>
  </si>
  <si>
    <t>C2</t>
  </si>
  <si>
    <t>Intensive postgraduate provision</t>
  </si>
  <si>
    <t>PRICEGRP</t>
  </si>
  <si>
    <t>MODE</t>
  </si>
  <si>
    <t>LEVEL</t>
  </si>
  <si>
    <t>LENGTH</t>
  </si>
  <si>
    <t>PGT_UGF</t>
  </si>
  <si>
    <t>Tables</t>
  </si>
  <si>
    <t>M_D_ADJ</t>
  </si>
  <si>
    <t>C1 and C2</t>
  </si>
  <si>
    <t>Students attending courses in London</t>
  </si>
  <si>
    <t>Erasmus+ and overseas study programmes</t>
  </si>
  <si>
    <t>Other FTE adjustments</t>
  </si>
  <si>
    <t>FTE adjustments</t>
  </si>
  <si>
    <t>Intensive postgraduate provision (£)</t>
  </si>
  <si>
    <t>Students attending courses in London (£)</t>
  </si>
  <si>
    <t>HOMEF</t>
  </si>
  <si>
    <t>Targeted allocations</t>
  </si>
  <si>
    <t>Specialist institutions</t>
  </si>
  <si>
    <t>PGT_ML</t>
  </si>
  <si>
    <t>PGT_OTH</t>
  </si>
  <si>
    <t>Postgraduate taught supplement</t>
  </si>
  <si>
    <t>Postgraduate taught supplement (£)</t>
  </si>
  <si>
    <t>Disabled students' premium</t>
  </si>
  <si>
    <t>Main allocation (£)</t>
  </si>
  <si>
    <t>Supplement (£)</t>
  </si>
  <si>
    <t>HIGHCOST</t>
  </si>
  <si>
    <t>TARGET</t>
  </si>
  <si>
    <t>T_TOT</t>
  </si>
  <si>
    <t>GRANT</t>
  </si>
  <si>
    <t>ALLOC</t>
  </si>
  <si>
    <t>MEDINTAR</t>
  </si>
  <si>
    <t>DENINTAR</t>
  </si>
  <si>
    <t>PGTS_TA</t>
  </si>
  <si>
    <t>INT_TA</t>
  </si>
  <si>
    <t>ACCL_TA</t>
  </si>
  <si>
    <t>ERAS_TA</t>
  </si>
  <si>
    <t>LOND_TA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</si>
  <si>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</si>
  <si>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</si>
  <si>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</si>
  <si>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</si>
  <si>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</si>
  <si>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</si>
  <si>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</si>
  <si>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</si>
  <si>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</si>
  <si>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</si>
  <si>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</si>
  <si>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</si>
  <si>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</si>
  <si>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</si>
  <si>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</si>
  <si>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</si>
  <si>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</si>
  <si>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</si>
  <si>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</si>
  <si>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</si>
  <si>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</si>
  <si>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</si>
  <si>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</si>
  <si>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</si>
  <si>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</si>
  <si>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</si>
  <si>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</si>
  <si>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</si>
  <si>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</si>
  <si>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</si>
  <si>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</si>
  <si>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</si>
  <si>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</si>
  <si>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</si>
  <si>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Podiatry and chiropody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</si>
  <si>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</si>
  <si>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</si>
  <si>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</si>
  <si>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</si>
  <si>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</si>
  <si>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</si>
  <si>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</si>
  <si>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</si>
  <si>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</si>
  <si>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Total targeted allocations</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</si>
  <si>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</si>
  <si>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</si>
  <si>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</si>
  <si>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</si>
  <si>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</si>
  <si>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</si>
  <si>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</si>
  <si>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</si>
  <si>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</si>
  <si>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</si>
  <si>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</si>
  <si>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</si>
  <si>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</si>
  <si>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</si>
  <si>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</si>
  <si>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</si>
  <si>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</si>
  <si>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</si>
  <si>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Starters in 2016-17</t>
  </si>
  <si>
    <t>Starters in 2017-18</t>
  </si>
  <si>
    <t>HEALTHFTE1617</t>
  </si>
  <si>
    <t>HEALTHFTE1718</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</si>
  <si>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</si>
  <si>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</si>
  <si>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</si>
  <si>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</si>
  <si>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</si>
  <si>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</si>
  <si>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</si>
  <si>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</si>
  <si>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</si>
  <si>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</si>
  <si>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</si>
  <si>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</si>
  <si>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</si>
  <si>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</si>
  <si>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</si>
  <si>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</si>
  <si>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</si>
  <si>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</si>
  <si>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</si>
  <si>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</si>
  <si>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</si>
  <si>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</si>
  <si>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</si>
  <si>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</si>
  <si>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</si>
  <si>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</si>
  <si>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</si>
  <si>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</si>
  <si>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</si>
  <si>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</si>
  <si>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</si>
  <si>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</si>
  <si>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</si>
  <si>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</si>
  <si>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</si>
  <si>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</si>
  <si>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</si>
  <si>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</si>
  <si>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</si>
  <si>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</si>
  <si>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</si>
  <si>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</si>
  <si>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</si>
  <si>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</si>
  <si>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</si>
  <si>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</si>
  <si>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</si>
  <si>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</si>
  <si>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</si>
  <si>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</si>
  <si>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</si>
  <si>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</si>
  <si>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</si>
  <si>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</si>
  <si>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</si>
  <si>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Of which maximum overseas numbers</t>
  </si>
  <si>
    <t>Nursing, midwifery and allied health supplement (£)</t>
  </si>
  <si>
    <t>Nursing, midwifery and allied health supplement</t>
  </si>
  <si>
    <t>Hide for FECs</t>
  </si>
  <si>
    <t>Date</t>
  </si>
  <si>
    <t>UGHEALTHFTE1617</t>
  </si>
  <si>
    <t>UGHEALTHFTE1718</t>
  </si>
  <si>
    <t>PGHEALTHFTE1718</t>
  </si>
  <si>
    <t>DENHEALTHFTE1718</t>
  </si>
  <si>
    <t>Hide for non health</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</si>
  <si>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</si>
  <si>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</si>
  <si>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</si>
  <si>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</si>
  <si>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</si>
  <si>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</si>
  <si>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</si>
  <si>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</si>
  <si>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</si>
  <si>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</si>
  <si>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</si>
  <si>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</si>
  <si>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</si>
  <si>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</si>
  <si>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</si>
  <si>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</si>
  <si>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Of which related to NMAH² funding transfer (£)</t>
  </si>
  <si>
    <t>Provider</t>
  </si>
  <si>
    <t>Provider name</t>
  </si>
  <si>
    <t>Of which related to nursing, midwifery and allied health funding transfer (£)</t>
  </si>
  <si>
    <t>Total FTEs for nursing, midwifery and allied health supplement</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</si>
  <si>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</si>
  <si>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</si>
  <si>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</si>
  <si>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</si>
  <si>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</si>
  <si>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</si>
  <si>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</si>
  <si>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</si>
  <si>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</si>
  <si>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</si>
  <si>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</si>
  <si>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</si>
  <si>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Premium to support successful student outcomes: full-time</t>
  </si>
  <si>
    <t>Adjustment for over-recruitment against medical and dental intake targets</t>
  </si>
  <si>
    <t>Very high-cost STEM subjects</t>
  </si>
  <si>
    <t>2019-20 Spring grant tables</t>
  </si>
  <si>
    <t>Spring 2019</t>
  </si>
  <si>
    <t>2019-20 Allocation (£)</t>
  </si>
  <si>
    <t>Medical intake target for 2019-20</t>
  </si>
  <si>
    <t>Dental intake target for 2019-20</t>
  </si>
  <si>
    <t>Total FTEs for 2019-20 high-cost subject funding</t>
  </si>
  <si>
    <t>Table B: 2019-20 High-cost subject funding</t>
  </si>
  <si>
    <t>Table C: 2019-20 Student premium allocations</t>
  </si>
  <si>
    <t>Total FTEs for 2019-20¹</t>
  </si>
  <si>
    <t>Total FTEs for 2019-20: Part-time UG¹</t>
  </si>
  <si>
    <t>Total FTEs for 2019-20: Full-time and sandwich year out UG¹</t>
  </si>
  <si>
    <t>Table D: 2019-20 Erasmus+ and overseas study programmes</t>
  </si>
  <si>
    <t>OfS-fundable</t>
  </si>
  <si>
    <t>Starters in 2018-19</t>
  </si>
  <si>
    <t>Table E: 2019-20 Nursing, midwifery and allied health supplement</t>
  </si>
  <si>
    <t>Total FTEs for 2019-20 other targeted allocations</t>
  </si>
  <si>
    <t>2018-19 Disabled students' premium (£)</t>
  </si>
  <si>
    <t>PGT (UG fee)</t>
  </si>
  <si>
    <t>Total funding</t>
  </si>
  <si>
    <t xml:space="preserve">Funding rate per FTE </t>
  </si>
  <si>
    <t>Table A: 2019-20 Summary of allocations</t>
  </si>
  <si>
    <t>Chemistry</t>
  </si>
  <si>
    <t>Physics</t>
  </si>
  <si>
    <t>Chemical engineering</t>
  </si>
  <si>
    <t>Mineral, metallurgy and materials engineering</t>
  </si>
  <si>
    <t>Table H: 2019-20 Parameters in the funding models</t>
  </si>
  <si>
    <t>Table G: 2019-20 Other targeted allocations</t>
  </si>
  <si>
    <t>¹ From 'G Other TAs' tab of this workbook</t>
  </si>
  <si>
    <t>Total FTE*</t>
  </si>
  <si>
    <t>HEALTHFTE1819</t>
  </si>
  <si>
    <t>FTEADJ19</t>
  </si>
  <si>
    <t>FTE19</t>
  </si>
  <si>
    <t>HIGHCOST19</t>
  </si>
  <si>
    <t>HC19_HEALTH</t>
  </si>
  <si>
    <t>VHCSS_TA</t>
  </si>
  <si>
    <t>Full-time and sandwich year out UG headcount (2017-18 HESA/ILR)</t>
  </si>
  <si>
    <t>DSA-eligible headcount
(2017-18 HESA/ILR)</t>
  </si>
  <si>
    <t>FTEs from OfS data survey</t>
  </si>
  <si>
    <t>Additional NMAH cohort: PGT FTEs</t>
  </si>
  <si>
    <t>Additional NMAH cohort: DHDT FTEs</t>
  </si>
  <si>
    <t>OfS-fundable NMAH FTEs: UG starters in 2017-18</t>
  </si>
  <si>
    <t>OfS-fundable NMAH FTEs: UG and PGT starters in 2018-19</t>
  </si>
  <si>
    <t>2018-19 years abroad from OfS data survey</t>
  </si>
  <si>
    <t>ERASSTU18</t>
  </si>
  <si>
    <t>ERAS_TA19</t>
  </si>
  <si>
    <t>² Nursing, midwifery and allied health</t>
  </si>
  <si>
    <t>PGT (Masters' loan)</t>
  </si>
  <si>
    <t>PGT (Other)</t>
  </si>
  <si>
    <t>A, B, C1 and C2</t>
  </si>
  <si>
    <t>OfS-fundable NMAH FTEs: 
UG starters in 2017-18</t>
  </si>
  <si>
    <t>OfS-fundable NMAH FTEs:
UG and PGT starters in 
2018-19</t>
  </si>
  <si>
    <t xml:space="preserve">*If there are fewer than 30 FTEs for an individual subject those FTEs are not included in the total. </t>
  </si>
  <si>
    <t>Of which related to NMAH funding transfer</t>
  </si>
  <si>
    <t>¹ Nursing, midwifery and allied health</t>
  </si>
  <si>
    <t>² Dental hygiene and dental therapy</t>
  </si>
  <si>
    <t>Additional NMAH¹ cohort: UG FTEs
(excl. DHDT²)</t>
  </si>
  <si>
    <t>Additional NMAH¹ cohort: UG FTEs 
(excl. DHDT²)</t>
  </si>
  <si>
    <t>Total NMAH FTEs for
 2019-20
high-cost subject funding</t>
  </si>
  <si>
    <t>HEALTH_TA19</t>
  </si>
  <si>
    <t>HEALTHFTE1617HH</t>
  </si>
  <si>
    <t>HEALTHFTE1718HH</t>
  </si>
  <si>
    <t>HEALTHFTE1819HH</t>
  </si>
  <si>
    <t>HEALTHTAFTETOT</t>
  </si>
  <si>
    <t>Table F: 2019-20 Very high-cost STEM subjects targeted allocation</t>
  </si>
  <si>
    <t>SPSECTORFLAG</t>
  </si>
  <si>
    <t>INT_TA19</t>
  </si>
  <si>
    <t>ACCL_TA19</t>
  </si>
  <si>
    <t>TA_FTE19</t>
  </si>
  <si>
    <t>PGTS_TA19</t>
  </si>
  <si>
    <t>LOND_TA19</t>
  </si>
  <si>
    <t>INT_TA19_HEALTH</t>
  </si>
  <si>
    <t>ACCL_TA19_HEALTH</t>
  </si>
  <si>
    <t>LOND_TA19_HEALTH</t>
  </si>
  <si>
    <t>FTE_CHEMIST</t>
  </si>
  <si>
    <t>FTE_PHYSICS</t>
  </si>
  <si>
    <t>FTE_CHEMENG</t>
  </si>
  <si>
    <t>FTECOUNT</t>
  </si>
  <si>
    <t>VHCSS_TA19</t>
  </si>
  <si>
    <t>Hide for no SP sector rates applied</t>
  </si>
  <si>
    <t>Total FTEs in very high-cost STEM subjects:</t>
  </si>
  <si>
    <t>Headcount of at-risk and underrepresented students</t>
  </si>
  <si>
    <t>We have used data from all other providers for which we have 2017-18 individualised data in our calculation of the allocations shown below. Although we do not have, or are not able to use, individualised data for your provider, we have ensured that it is not disadvantaged by applying average weightings derived from all other providers with eligible data.</t>
  </si>
  <si>
    <t>We have used data from all other providers for which we have 2017-18 individualised data in our calculation of the ‘Premium to support successful student outcomes: full-time’ allocations shown below. Although we are not able to use the individualised data for your provider, we have ensured that it is not disadvantaged by applying average weightings derived from all other providers with eligible data.</t>
  </si>
  <si>
    <t>Total NMAH FTEs for 2019-20 targeted allocations funding</t>
  </si>
  <si>
    <t>FTE_MMMENG</t>
  </si>
  <si>
    <t>Various</t>
  </si>
  <si>
    <t>ALL</t>
  </si>
  <si>
    <t>Providers registered in the 'Approved (fee cap)' category by 15 April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</si>
</sst>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 numFmtId="174" formatCode="0.000"/>
  </numFmts>
  <fonts count="40"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sz val="10.5"/>
      <color theme="0"/>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20"/>
      <color theme="3" tint="-0.499984740745262"/>
      <name val="Arial"/>
      <family val="2"/>
    </font>
    <font>
      <sz val="10.5"/>
      <color theme="0" tint="-0.14999847407452621"/>
      <name val="Arial"/>
      <family val="2"/>
    </font>
    <font>
      <sz val="22"/>
      <color theme="3" tint="-0.499984740745262"/>
      <name val="Arial"/>
      <family val="2"/>
    </font>
    <font>
      <sz val="18"/>
      <color theme="3" tint="-0.499984740745262"/>
      <name val="Arial"/>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right style="thin">
        <color indexed="64"/>
      </right>
      <top style="medium">
        <color indexed="64"/>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style="hair">
        <color indexed="64"/>
      </right>
      <top style="thin">
        <color indexed="64"/>
      </top>
      <bottom style="hair">
        <color indexed="64"/>
      </bottom>
      <diagonal/>
    </border>
    <border>
      <left/>
      <right/>
      <top style="dashed">
        <color indexed="64"/>
      </top>
      <bottom style="hair">
        <color indexed="64"/>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9" fillId="0" borderId="0" applyNumberFormat="0" applyFill="0" applyBorder="0" applyAlignment="0" applyProtection="0"/>
  </cellStyleXfs>
  <cellXfs count="568">
    <xf numFmtId="0" fontId="0" fillId="0" borderId="0" xfId="0"/>
    <xf numFmtId="0" fontId="30" fillId="0" borderId="0" xfId="0" applyFont="1" applyAlignment="1" applyProtection="1"/>
    <xf numFmtId="0" fontId="34" fillId="0" borderId="0" xfId="0" applyFont="1" applyAlignment="1" applyProtection="1">
      <alignment vertical="center"/>
    </xf>
    <xf numFmtId="0" fontId="28" fillId="0" borderId="0" xfId="0" applyFont="1" applyProtection="1"/>
    <xf numFmtId="0" fontId="35" fillId="0" borderId="0" xfId="0" applyFont="1" applyAlignment="1" applyProtection="1">
      <alignment vertical="center"/>
    </xf>
    <xf numFmtId="0" fontId="33" fillId="0" borderId="0" xfId="0" applyFont="1" applyAlignment="1" applyProtection="1">
      <alignment horizontal="right"/>
    </xf>
    <xf numFmtId="0" fontId="3" fillId="19" borderId="0" xfId="0" applyFont="1" applyFill="1" applyProtection="1"/>
    <xf numFmtId="0" fontId="33" fillId="0" borderId="0" xfId="51" applyFont="1" applyAlignment="1" applyProtection="1">
      <alignment horizontal="left"/>
    </xf>
    <xf numFmtId="0" fontId="3" fillId="23" borderId="0" xfId="0" applyFont="1" applyFill="1" applyProtection="1"/>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20"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1" borderId="0" xfId="0" applyFont="1" applyFill="1" applyAlignment="1" applyProtection="1">
      <alignment horizontal="center"/>
    </xf>
    <xf numFmtId="3" fontId="22" fillId="0" borderId="19" xfId="0" applyNumberFormat="1" applyFont="1" applyFill="1" applyBorder="1" applyAlignment="1" applyProtection="1">
      <alignment horizontal="right" vertical="center"/>
    </xf>
    <xf numFmtId="3" fontId="23" fillId="0" borderId="0" xfId="0" applyNumberFormat="1" applyFont="1" applyFill="1" applyAlignment="1" applyProtection="1">
      <alignment vertical="center"/>
    </xf>
    <xf numFmtId="3" fontId="22" fillId="0" borderId="19" xfId="0" applyNumberFormat="1" applyFont="1" applyFill="1" applyBorder="1" applyAlignment="1" applyProtection="1">
      <alignment vertical="center"/>
    </xf>
    <xf numFmtId="3" fontId="23" fillId="0" borderId="0" xfId="0" applyNumberFormat="1" applyFont="1" applyFill="1" applyProtection="1"/>
    <xf numFmtId="0" fontId="23" fillId="20"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3" fillId="0" borderId="13" xfId="0" applyFont="1" applyFill="1" applyBorder="1" applyAlignment="1" applyProtection="1">
      <alignment vertical="center"/>
    </xf>
    <xf numFmtId="0" fontId="22" fillId="0" borderId="13" xfId="0" applyFont="1" applyFill="1" applyBorder="1" applyAlignment="1" applyProtection="1">
      <alignment vertical="center"/>
    </xf>
    <xf numFmtId="3" fontId="22" fillId="0" borderId="13" xfId="0" applyNumberFormat="1" applyFont="1" applyFill="1" applyBorder="1" applyAlignment="1" applyProtection="1">
      <alignment horizontal="right" vertical="center"/>
    </xf>
    <xf numFmtId="3" fontId="22" fillId="0" borderId="13" xfId="0" applyNumberFormat="1" applyFont="1" applyFill="1" applyBorder="1" applyAlignment="1" applyProtection="1">
      <alignment vertical="center"/>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5"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5" fillId="0" borderId="0" xfId="0" applyFont="1" applyFill="1" applyProtection="1"/>
    <xf numFmtId="0" fontId="23" fillId="0" borderId="0" xfId="0" applyFont="1" applyFill="1" applyBorder="1" applyProtection="1"/>
    <xf numFmtId="0" fontId="22" fillId="0" borderId="0" xfId="0" applyFont="1" applyFill="1" applyBorder="1" applyProtection="1"/>
    <xf numFmtId="3" fontId="25"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6" fillId="0" borderId="12" xfId="0" applyFont="1" applyFill="1" applyBorder="1" applyAlignment="1" applyProtection="1">
      <alignment vertical="center"/>
    </xf>
    <xf numFmtId="0" fontId="22" fillId="0" borderId="0" xfId="0" applyFont="1" applyFill="1" applyBorder="1" applyAlignment="1" applyProtection="1"/>
    <xf numFmtId="3" fontId="22" fillId="0" borderId="0" xfId="0" applyNumberFormat="1" applyFont="1" applyFill="1" applyBorder="1" applyAlignment="1" applyProtection="1">
      <alignment horizontal="right"/>
    </xf>
    <xf numFmtId="0" fontId="23" fillId="0" borderId="18" xfId="0" applyFont="1" applyFill="1" applyBorder="1" applyAlignment="1" applyProtection="1">
      <alignment vertical="center"/>
    </xf>
    <xf numFmtId="0" fontId="26"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20"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56" xfId="0" applyNumberFormat="1" applyFont="1" applyFill="1" applyBorder="1" applyProtection="1"/>
    <xf numFmtId="4" fontId="23" fillId="22" borderId="45" xfId="0" applyNumberFormat="1" applyFont="1" applyFill="1" applyBorder="1" applyProtection="1"/>
    <xf numFmtId="4" fontId="23" fillId="0" borderId="45" xfId="0" applyNumberFormat="1" applyFont="1" applyFill="1" applyBorder="1" applyProtection="1"/>
    <xf numFmtId="3" fontId="23" fillId="0" borderId="45" xfId="0" applyNumberFormat="1" applyFont="1" applyFill="1" applyBorder="1" applyProtection="1"/>
    <xf numFmtId="0" fontId="23" fillId="20" borderId="0" xfId="0" applyFont="1" applyFill="1" applyBorder="1" applyAlignment="1" applyProtection="1">
      <alignment horizontal="center"/>
    </xf>
    <xf numFmtId="0" fontId="23" fillId="18" borderId="0" xfId="0" applyFont="1" applyFill="1" applyProtection="1"/>
    <xf numFmtId="4" fontId="23" fillId="0" borderId="87"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2" xfId="0" applyNumberFormat="1" applyFont="1" applyFill="1" applyBorder="1" applyProtection="1"/>
    <xf numFmtId="4" fontId="23" fillId="0" borderId="47" xfId="0" applyNumberFormat="1" applyFont="1" applyFill="1" applyBorder="1" applyProtection="1"/>
    <xf numFmtId="3" fontId="23" fillId="0" borderId="47"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66" xfId="0" applyNumberFormat="1" applyFont="1" applyFill="1" applyBorder="1" applyProtection="1"/>
    <xf numFmtId="4" fontId="23" fillId="22" borderId="48" xfId="0" applyNumberFormat="1" applyFont="1" applyFill="1" applyBorder="1" applyProtection="1"/>
    <xf numFmtId="4" fontId="23" fillId="0" borderId="48" xfId="0" applyNumberFormat="1" applyFont="1" applyFill="1" applyBorder="1" applyProtection="1"/>
    <xf numFmtId="3" fontId="23" fillId="0" borderId="48"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78" xfId="0" applyNumberFormat="1" applyFont="1" applyFill="1" applyBorder="1" applyProtection="1"/>
    <xf numFmtId="4" fontId="23" fillId="0" borderId="49" xfId="0" applyNumberFormat="1" applyFont="1" applyFill="1" applyBorder="1" applyProtection="1"/>
    <xf numFmtId="3" fontId="23" fillId="0" borderId="49" xfId="0" applyNumberFormat="1" applyFont="1" applyFill="1" applyBorder="1" applyProtection="1"/>
    <xf numFmtId="4" fontId="23" fillId="0" borderId="64" xfId="0" applyNumberFormat="1" applyFont="1" applyFill="1" applyBorder="1" applyProtection="1"/>
    <xf numFmtId="4" fontId="23" fillId="0" borderId="50" xfId="0" applyNumberFormat="1" applyFont="1" applyFill="1" applyBorder="1" applyProtection="1"/>
    <xf numFmtId="3" fontId="23" fillId="0" borderId="50" xfId="0" applyNumberFormat="1" applyFont="1" applyFill="1" applyBorder="1" applyProtection="1"/>
    <xf numFmtId="0" fontId="23" fillId="0" borderId="0" xfId="0" applyFont="1" applyFill="1" applyBorder="1" applyAlignment="1" applyProtection="1">
      <alignment wrapText="1"/>
    </xf>
    <xf numFmtId="4" fontId="23" fillId="0" borderId="68" xfId="0" applyNumberFormat="1" applyFont="1" applyFill="1" applyBorder="1" applyProtection="1"/>
    <xf numFmtId="0" fontId="22" fillId="0" borderId="39" xfId="0" applyFont="1" applyBorder="1" applyProtection="1"/>
    <xf numFmtId="0" fontId="22" fillId="0" borderId="39" xfId="0" applyFont="1" applyBorder="1" applyAlignment="1" applyProtection="1">
      <alignment horizontal="right"/>
    </xf>
    <xf numFmtId="4" fontId="23" fillId="0" borderId="70" xfId="0" applyNumberFormat="1" applyFont="1" applyFill="1" applyBorder="1" applyProtection="1"/>
    <xf numFmtId="4" fontId="23" fillId="0" borderId="52" xfId="0" applyNumberFormat="1" applyFont="1" applyFill="1" applyBorder="1" applyProtection="1"/>
    <xf numFmtId="3" fontId="23" fillId="0" borderId="52"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1" xfId="0" applyNumberFormat="1" applyFont="1" applyFill="1" applyBorder="1" applyProtection="1"/>
    <xf numFmtId="3" fontId="23" fillId="0" borderId="51"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4"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20" borderId="0" xfId="0" applyFont="1" applyFill="1" applyAlignment="1" applyProtection="1">
      <alignment horizontal="center"/>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0" fontId="23" fillId="0" borderId="11" xfId="0" applyFont="1" applyBorder="1" applyAlignment="1" applyProtection="1">
      <alignment horizontal="right" wrapText="1"/>
    </xf>
    <xf numFmtId="3" fontId="23" fillId="21"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20" borderId="0" xfId="38" applyNumberFormat="1" applyFont="1" applyFill="1" applyAlignment="1" applyProtection="1">
      <alignment horizontal="center"/>
    </xf>
    <xf numFmtId="0" fontId="23" fillId="18"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3"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left" vertical="center"/>
    </xf>
    <xf numFmtId="3" fontId="23" fillId="0" borderId="0" xfId="38" applyNumberFormat="1" applyFont="1" applyFill="1" applyAlignment="1" applyProtection="1">
      <alignment horizontal="center"/>
    </xf>
    <xf numFmtId="164" fontId="23" fillId="0" borderId="14" xfId="38" applyNumberFormat="1" applyFont="1" applyFill="1" applyBorder="1" applyAlignment="1" applyProtection="1">
      <alignment horizontal="right" vertic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20" borderId="0" xfId="38" applyNumberFormat="1" applyFont="1" applyFill="1" applyAlignment="1" applyProtection="1">
      <alignment horizont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20"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1"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56" xfId="0" applyNumberFormat="1" applyFont="1" applyBorder="1" applyAlignment="1" applyProtection="1">
      <alignment vertical="center"/>
    </xf>
    <xf numFmtId="3" fontId="23" fillId="0" borderId="45" xfId="0" applyNumberFormat="1" applyFont="1" applyBorder="1" applyAlignment="1" applyProtection="1">
      <alignment vertical="center"/>
    </xf>
    <xf numFmtId="3" fontId="23" fillId="0" borderId="54" xfId="0" applyNumberFormat="1" applyFont="1" applyBorder="1" applyAlignment="1" applyProtection="1">
      <alignment vertical="center"/>
    </xf>
    <xf numFmtId="3" fontId="23" fillId="0" borderId="55" xfId="0" applyNumberFormat="1" applyFont="1" applyBorder="1" applyAlignment="1" applyProtection="1">
      <alignment vertical="center"/>
    </xf>
    <xf numFmtId="0" fontId="23" fillId="0" borderId="53" xfId="0" applyFont="1" applyBorder="1" applyAlignment="1" applyProtection="1">
      <alignment horizontal="right" vertical="center"/>
    </xf>
    <xf numFmtId="3" fontId="23" fillId="0" borderId="60" xfId="0" applyNumberFormat="1" applyFont="1" applyBorder="1" applyAlignment="1" applyProtection="1">
      <alignment vertical="center"/>
    </xf>
    <xf numFmtId="3" fontId="23" fillId="0" borderId="57" xfId="0" applyNumberFormat="1" applyFont="1" applyBorder="1" applyAlignment="1" applyProtection="1">
      <alignment vertical="center"/>
    </xf>
    <xf numFmtId="0" fontId="22" fillId="0" borderId="33" xfId="0" applyFont="1" applyBorder="1" applyAlignment="1" applyProtection="1">
      <alignment horizontal="righ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3" fontId="23" fillId="0" borderId="35" xfId="0" applyNumberFormat="1" applyFont="1" applyBorder="1" applyAlignment="1" applyProtection="1">
      <alignment vertical="center"/>
    </xf>
    <xf numFmtId="3" fontId="23" fillId="0" borderId="36" xfId="0" applyNumberFormat="1" applyFont="1" applyBorder="1" applyAlignment="1" applyProtection="1">
      <alignment vertical="center"/>
    </xf>
    <xf numFmtId="0" fontId="23" fillId="21" borderId="0" xfId="0" applyFont="1" applyFill="1" applyAlignment="1" applyProtection="1">
      <alignment horizontal="right" vertical="center"/>
    </xf>
    <xf numFmtId="0" fontId="21" fillId="0" borderId="0" xfId="0" applyFont="1" applyFill="1" applyAlignment="1" applyProtection="1"/>
    <xf numFmtId="0" fontId="23" fillId="0" borderId="10" xfId="49" applyFont="1" applyBorder="1" applyProtection="1"/>
    <xf numFmtId="0" fontId="23" fillId="0" borderId="0" xfId="49" applyFont="1" applyBorder="1" applyProtection="1"/>
    <xf numFmtId="0" fontId="23" fillId="0" borderId="0" xfId="49" applyFont="1" applyProtection="1"/>
    <xf numFmtId="0" fontId="23" fillId="0" borderId="0" xfId="49" applyFont="1" applyAlignment="1" applyProtection="1">
      <alignment horizontal="right"/>
    </xf>
    <xf numFmtId="0" fontId="23" fillId="0" borderId="42" xfId="50" applyFont="1" applyFill="1" applyBorder="1" applyAlignment="1" applyProtection="1">
      <alignment horizontal="right" wrapText="1"/>
    </xf>
    <xf numFmtId="0" fontId="23" fillId="0" borderId="17" xfId="50" applyFont="1" applyFill="1" applyBorder="1" applyAlignment="1" applyProtection="1">
      <alignment horizontal="right" wrapText="1"/>
    </xf>
    <xf numFmtId="0" fontId="23" fillId="21" borderId="0" xfId="50" applyFont="1" applyFill="1" applyBorder="1" applyAlignment="1" applyProtection="1">
      <alignment horizontal="center" vertical="center" wrapText="1"/>
    </xf>
    <xf numFmtId="0" fontId="23" fillId="0" borderId="14" xfId="49" applyFont="1" applyBorder="1" applyAlignment="1" applyProtection="1">
      <alignment vertical="center"/>
    </xf>
    <xf numFmtId="0" fontId="23" fillId="0" borderId="14" xfId="49" applyFont="1" applyBorder="1" applyAlignment="1" applyProtection="1">
      <alignment horizontal="right" vertical="center"/>
    </xf>
    <xf numFmtId="0" fontId="23" fillId="0" borderId="12" xfId="49" applyFont="1" applyBorder="1" applyAlignment="1" applyProtection="1">
      <alignment vertical="center"/>
    </xf>
    <xf numFmtId="0" fontId="23" fillId="0" borderId="12" xfId="49" applyFont="1" applyBorder="1" applyAlignment="1" applyProtection="1">
      <alignment horizontal="right" vertical="center"/>
    </xf>
    <xf numFmtId="0" fontId="23" fillId="0" borderId="0" xfId="49" applyFont="1" applyBorder="1" applyAlignment="1" applyProtection="1">
      <alignment vertical="center"/>
    </xf>
    <xf numFmtId="0" fontId="23" fillId="0" borderId="0" xfId="49" applyFont="1" applyBorder="1" applyAlignment="1" applyProtection="1">
      <alignment horizontal="right" vertical="center"/>
    </xf>
    <xf numFmtId="4" fontId="23" fillId="0" borderId="50" xfId="49" applyNumberFormat="1" applyFont="1" applyFill="1" applyBorder="1" applyAlignment="1" applyProtection="1">
      <alignment vertical="center"/>
    </xf>
    <xf numFmtId="4" fontId="23" fillId="0" borderId="63" xfId="49" applyNumberFormat="1" applyFont="1" applyFill="1" applyBorder="1" applyAlignment="1" applyProtection="1">
      <alignment vertical="center"/>
    </xf>
    <xf numFmtId="4" fontId="23" fillId="0" borderId="64" xfId="49" applyNumberFormat="1" applyFont="1" applyFill="1" applyBorder="1" applyAlignment="1" applyProtection="1">
      <alignment vertical="center"/>
    </xf>
    <xf numFmtId="4" fontId="23" fillId="0" borderId="47" xfId="49" applyNumberFormat="1" applyFont="1" applyFill="1" applyBorder="1" applyAlignment="1" applyProtection="1">
      <alignment vertical="center"/>
    </xf>
    <xf numFmtId="4" fontId="23" fillId="0" borderId="61" xfId="49" applyNumberFormat="1" applyFont="1" applyFill="1" applyBorder="1" applyAlignment="1" applyProtection="1">
      <alignment vertical="center"/>
    </xf>
    <xf numFmtId="3" fontId="23" fillId="0" borderId="47" xfId="49" applyNumberFormat="1" applyFont="1" applyFill="1" applyBorder="1" applyAlignment="1" applyProtection="1">
      <alignment vertical="center"/>
    </xf>
    <xf numFmtId="4" fontId="23" fillId="0" borderId="47" xfId="49" applyNumberFormat="1" applyFont="1" applyBorder="1" applyAlignment="1" applyProtection="1">
      <alignment vertical="center"/>
    </xf>
    <xf numFmtId="3" fontId="23" fillId="0" borderId="47" xfId="49" applyNumberFormat="1" applyFont="1" applyBorder="1" applyAlignment="1" applyProtection="1">
      <alignment vertical="center"/>
    </xf>
    <xf numFmtId="4" fontId="23" fillId="0" borderId="64" xfId="49" applyNumberFormat="1" applyFont="1" applyBorder="1" applyAlignment="1" applyProtection="1">
      <alignment vertical="center"/>
    </xf>
    <xf numFmtId="4" fontId="23" fillId="0" borderId="50" xfId="49" applyNumberFormat="1" applyFont="1" applyBorder="1" applyAlignment="1" applyProtection="1">
      <alignment vertical="center"/>
    </xf>
    <xf numFmtId="3" fontId="23" fillId="0" borderId="50" xfId="49" applyNumberFormat="1" applyFont="1" applyBorder="1" applyAlignment="1" applyProtection="1">
      <alignment vertical="center"/>
    </xf>
    <xf numFmtId="0" fontId="23" fillId="0" borderId="20" xfId="49" applyFont="1" applyBorder="1" applyAlignment="1" applyProtection="1">
      <alignment vertical="center"/>
    </xf>
    <xf numFmtId="0" fontId="23" fillId="0" borderId="20" xfId="49" applyFont="1" applyBorder="1" applyAlignment="1" applyProtection="1">
      <alignment horizontal="right" vertical="center"/>
    </xf>
    <xf numFmtId="4" fontId="23" fillId="0" borderId="66" xfId="49" applyNumberFormat="1" applyFont="1" applyFill="1" applyBorder="1" applyAlignment="1" applyProtection="1">
      <alignment vertical="center"/>
    </xf>
    <xf numFmtId="4" fontId="23" fillId="0" borderId="48" xfId="49" applyNumberFormat="1" applyFont="1" applyFill="1" applyBorder="1" applyAlignment="1" applyProtection="1">
      <alignment vertical="center"/>
    </xf>
    <xf numFmtId="4" fontId="23" fillId="0" borderId="65" xfId="49" applyNumberFormat="1" applyFont="1" applyFill="1" applyBorder="1" applyAlignment="1" applyProtection="1">
      <alignment vertical="center"/>
    </xf>
    <xf numFmtId="4" fontId="23" fillId="0" borderId="66" xfId="49" applyNumberFormat="1" applyFont="1" applyBorder="1" applyAlignment="1" applyProtection="1">
      <alignment vertical="center"/>
    </xf>
    <xf numFmtId="4" fontId="23" fillId="0" borderId="48" xfId="49" applyNumberFormat="1" applyFont="1" applyBorder="1" applyAlignment="1" applyProtection="1">
      <alignment vertical="center"/>
    </xf>
    <xf numFmtId="3" fontId="23" fillId="0" borderId="48" xfId="49" applyNumberFormat="1" applyFont="1" applyBorder="1" applyAlignment="1" applyProtection="1">
      <alignment vertical="center"/>
    </xf>
    <xf numFmtId="4" fontId="23" fillId="0" borderId="65" xfId="49" applyNumberFormat="1" applyFont="1" applyBorder="1" applyAlignment="1" applyProtection="1">
      <alignment vertical="center"/>
    </xf>
    <xf numFmtId="4" fontId="23" fillId="0" borderId="61" xfId="49" applyNumberFormat="1" applyFont="1" applyBorder="1" applyAlignment="1" applyProtection="1">
      <alignment vertical="center"/>
    </xf>
    <xf numFmtId="4" fontId="23" fillId="0" borderId="51" xfId="49" applyNumberFormat="1" applyFont="1" applyBorder="1" applyAlignment="1" applyProtection="1">
      <alignment vertical="center"/>
    </xf>
    <xf numFmtId="4" fontId="23" fillId="0" borderId="67" xfId="49" applyNumberFormat="1" applyFont="1" applyBorder="1" applyAlignment="1" applyProtection="1">
      <alignment vertical="center"/>
    </xf>
    <xf numFmtId="3" fontId="23" fillId="0" borderId="51" xfId="49" applyNumberFormat="1" applyFont="1" applyBorder="1" applyAlignment="1" applyProtection="1">
      <alignment vertical="center"/>
    </xf>
    <xf numFmtId="0" fontId="22" fillId="0" borderId="39" xfId="0" applyFont="1" applyBorder="1" applyAlignment="1" applyProtection="1">
      <alignment horizontal="left" vertical="center" wrapText="1"/>
    </xf>
    <xf numFmtId="0" fontId="22" fillId="0" borderId="39" xfId="0" applyFont="1" applyBorder="1" applyAlignment="1" applyProtection="1">
      <alignment horizontal="right" vertical="center" wrapText="1"/>
    </xf>
    <xf numFmtId="4" fontId="23" fillId="0" borderId="70" xfId="0" applyNumberFormat="1" applyFont="1" applyBorder="1" applyAlignment="1" applyProtection="1">
      <alignment vertical="center" wrapText="1"/>
    </xf>
    <xf numFmtId="4" fontId="23" fillId="0" borderId="52" xfId="0" applyNumberFormat="1" applyFont="1" applyBorder="1" applyAlignment="1" applyProtection="1">
      <alignment vertical="center" wrapText="1"/>
    </xf>
    <xf numFmtId="4" fontId="23" fillId="0" borderId="69" xfId="0" applyNumberFormat="1" applyFont="1" applyBorder="1" applyAlignment="1" applyProtection="1">
      <alignment vertical="center" wrapText="1"/>
    </xf>
    <xf numFmtId="3" fontId="23" fillId="0" borderId="52" xfId="44"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51" xfId="0" applyNumberFormat="1" applyFont="1" applyBorder="1" applyAlignment="1" applyProtection="1">
      <alignment vertical="center" wrapText="1"/>
    </xf>
    <xf numFmtId="4" fontId="23" fillId="0" borderId="67" xfId="0" applyNumberFormat="1" applyFont="1" applyBorder="1" applyAlignment="1" applyProtection="1">
      <alignment vertical="center" wrapText="1"/>
    </xf>
    <xf numFmtId="3" fontId="23" fillId="0" borderId="51"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0" fontId="22" fillId="0" borderId="24" xfId="0" applyFont="1" applyBorder="1" applyAlignment="1" applyProtection="1">
      <alignment horizontal="right" vertical="center" wrapText="1"/>
    </xf>
    <xf numFmtId="4" fontId="23" fillId="0" borderId="44" xfId="0" applyNumberFormat="1" applyFont="1" applyFill="1" applyBorder="1" applyAlignment="1" applyProtection="1">
      <alignment vertical="center" wrapText="1"/>
    </xf>
    <xf numFmtId="4" fontId="23" fillId="0" borderId="24"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1"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63" xfId="0" applyNumberFormat="1" applyFont="1" applyFill="1" applyBorder="1" applyProtection="1"/>
    <xf numFmtId="3" fontId="23" fillId="0" borderId="45"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1" xfId="0" applyNumberFormat="1" applyFont="1" applyFill="1" applyBorder="1" applyProtection="1"/>
    <xf numFmtId="3" fontId="23" fillId="0" borderId="47"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65" xfId="0" applyNumberFormat="1" applyFont="1" applyFill="1" applyBorder="1" applyProtection="1"/>
    <xf numFmtId="3" fontId="23" fillId="0" borderId="50" xfId="44" applyNumberFormat="1" applyFont="1" applyFill="1" applyBorder="1" applyProtection="1"/>
    <xf numFmtId="3" fontId="23" fillId="0" borderId="48" xfId="44" applyNumberFormat="1" applyFont="1" applyFill="1" applyBorder="1" applyProtection="1"/>
    <xf numFmtId="0" fontId="23" fillId="0" borderId="72" xfId="0" applyFont="1" applyBorder="1" applyProtection="1"/>
    <xf numFmtId="0" fontId="23" fillId="0" borderId="72" xfId="0" applyFont="1" applyBorder="1" applyAlignment="1" applyProtection="1">
      <alignment horizontal="right"/>
    </xf>
    <xf numFmtId="4" fontId="23" fillId="0" borderId="77" xfId="0" applyNumberFormat="1" applyFont="1" applyFill="1" applyBorder="1" applyProtection="1"/>
    <xf numFmtId="4" fontId="23" fillId="0" borderId="73" xfId="0" applyNumberFormat="1" applyFont="1" applyFill="1" applyBorder="1" applyProtection="1"/>
    <xf numFmtId="4" fontId="23" fillId="0" borderId="74" xfId="0" applyNumberFormat="1" applyFont="1" applyFill="1" applyBorder="1" applyProtection="1"/>
    <xf numFmtId="3" fontId="23" fillId="0" borderId="73" xfId="44" applyNumberFormat="1" applyFont="1" applyFill="1" applyBorder="1" applyProtection="1"/>
    <xf numFmtId="0" fontId="23" fillId="0" borderId="13" xfId="0" applyFont="1" applyBorder="1" applyProtection="1"/>
    <xf numFmtId="4" fontId="23" fillId="0" borderId="71" xfId="0" applyNumberFormat="1" applyFont="1" applyFill="1" applyBorder="1" applyProtection="1"/>
    <xf numFmtId="3" fontId="23" fillId="0" borderId="51" xfId="44" applyNumberFormat="1" applyFont="1" applyFill="1" applyBorder="1" applyProtection="1"/>
    <xf numFmtId="3" fontId="23" fillId="0" borderId="49" xfId="44" applyNumberFormat="1" applyFont="1" applyFill="1" applyBorder="1" applyProtection="1"/>
    <xf numFmtId="4" fontId="23" fillId="0" borderId="79"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80" xfId="0" applyNumberFormat="1" applyFont="1" applyFill="1" applyBorder="1" applyProtection="1"/>
    <xf numFmtId="4" fontId="23" fillId="0" borderId="16" xfId="0" applyNumberFormat="1" applyFont="1" applyFill="1" applyBorder="1" applyProtection="1"/>
    <xf numFmtId="0" fontId="23" fillId="0" borderId="75" xfId="0" applyFont="1" applyBorder="1" applyProtection="1"/>
    <xf numFmtId="0" fontId="23" fillId="0" borderId="75" xfId="0" applyFont="1" applyBorder="1" applyAlignment="1" applyProtection="1">
      <alignment horizontal="right"/>
    </xf>
    <xf numFmtId="4" fontId="23" fillId="0" borderId="81" xfId="0" applyNumberFormat="1" applyFont="1" applyFill="1" applyBorder="1" applyProtection="1"/>
    <xf numFmtId="4" fontId="23" fillId="0" borderId="75" xfId="0" applyNumberFormat="1" applyFont="1" applyFill="1" applyBorder="1" applyProtection="1"/>
    <xf numFmtId="4" fontId="23" fillId="0" borderId="76" xfId="0" applyNumberFormat="1" applyFont="1" applyFill="1" applyBorder="1" applyProtection="1"/>
    <xf numFmtId="3" fontId="23" fillId="0" borderId="75" xfId="44" applyNumberFormat="1" applyFont="1" applyFill="1" applyBorder="1" applyProtection="1"/>
    <xf numFmtId="4" fontId="23" fillId="0" borderId="67" xfId="0" applyNumberFormat="1" applyFont="1" applyFill="1" applyBorder="1" applyProtection="1"/>
    <xf numFmtId="0" fontId="22" fillId="0" borderId="40" xfId="0" applyFont="1" applyBorder="1" applyProtection="1"/>
    <xf numFmtId="0" fontId="22" fillId="0" borderId="40" xfId="0" applyFont="1" applyBorder="1" applyAlignment="1" applyProtection="1">
      <alignment horizontal="right"/>
    </xf>
    <xf numFmtId="4" fontId="23" fillId="0" borderId="82" xfId="0" applyNumberFormat="1" applyFont="1" applyFill="1" applyBorder="1" applyProtection="1"/>
    <xf numFmtId="4" fontId="23" fillId="0" borderId="40" xfId="0" applyNumberFormat="1" applyFont="1" applyFill="1" applyBorder="1" applyProtection="1"/>
    <xf numFmtId="4" fontId="23" fillId="0" borderId="41" xfId="0" applyNumberFormat="1" applyFont="1" applyFill="1" applyBorder="1" applyProtection="1"/>
    <xf numFmtId="3" fontId="23" fillId="0" borderId="40" xfId="44" applyNumberFormat="1" applyFont="1" applyFill="1" applyBorder="1" applyProtection="1"/>
    <xf numFmtId="3" fontId="23" fillId="0" borderId="40"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75" xfId="0" applyFont="1" applyBorder="1" applyProtection="1"/>
    <xf numFmtId="0" fontId="22" fillId="0" borderId="75"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2"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4"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20" borderId="0" xfId="0" applyFont="1" applyFill="1" applyBorder="1" applyAlignment="1" applyProtection="1">
      <alignment horizontal="right"/>
    </xf>
    <xf numFmtId="0" fontId="23" fillId="20" borderId="0" xfId="0" applyFont="1" applyFill="1" applyProtection="1"/>
    <xf numFmtId="0" fontId="27"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19" xfId="0" quotePrefix="1" applyNumberFormat="1" applyFont="1" applyFill="1" applyBorder="1" applyAlignment="1" applyProtection="1">
      <alignment horizontal="righ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173" fontId="23" fillId="0" borderId="16" xfId="0" quotePrefix="1" applyNumberFormat="1" applyFont="1" applyFill="1" applyBorder="1" applyAlignment="1" applyProtection="1">
      <alignment horizontal="right"/>
    </xf>
    <xf numFmtId="2" fontId="23" fillId="0" borderId="12" xfId="0" quotePrefix="1" applyNumberFormat="1" applyFont="1" applyFill="1" applyBorder="1" applyAlignment="1" applyProtection="1">
      <alignment horizontal="left"/>
    </xf>
    <xf numFmtId="173" fontId="23" fillId="0" borderId="12" xfId="0" quotePrefix="1" applyNumberFormat="1" applyFont="1" applyFill="1" applyBorder="1" applyAlignment="1" applyProtection="1">
      <alignment horizontal="righ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173" fontId="23" fillId="0" borderId="29" xfId="0" quotePrefix="1" applyNumberFormat="1" applyFont="1" applyFill="1" applyBorder="1" applyAlignment="1" applyProtection="1">
      <alignment horizontal="righ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173" fontId="23" fillId="0" borderId="29" xfId="0" applyNumberFormat="1" applyFont="1" applyFill="1" applyBorder="1" applyAlignment="1" applyProtection="1">
      <alignment horizontal="righ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0" fontId="23" fillId="24"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0" fontId="22" fillId="0" borderId="0" xfId="0" applyFont="1" applyBorder="1" applyAlignment="1" applyProtection="1">
      <alignment horizontal="right" vertical="center"/>
    </xf>
    <xf numFmtId="4" fontId="23" fillId="0" borderId="51" xfId="49" applyNumberFormat="1" applyFont="1" applyFill="1" applyBorder="1" applyAlignment="1" applyProtection="1">
      <alignment vertical="center"/>
    </xf>
    <xf numFmtId="4" fontId="23" fillId="0" borderId="51"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5" applyFont="1" applyFill="1" applyBorder="1" applyAlignment="1" applyProtection="1">
      <alignment horizontal="right" wrapText="1"/>
    </xf>
    <xf numFmtId="0" fontId="23" fillId="0" borderId="11" xfId="0" applyFont="1" applyBorder="1" applyAlignment="1" applyProtection="1">
      <alignment wrapText="1"/>
    </xf>
    <xf numFmtId="0" fontId="23" fillId="0" borderId="84" xfId="0" applyFont="1" applyFill="1" applyBorder="1" applyAlignment="1" applyProtection="1">
      <alignment horizontal="right" wrapText="1"/>
    </xf>
    <xf numFmtId="171" fontId="23" fillId="0" borderId="84" xfId="45" applyFont="1" applyFill="1" applyBorder="1" applyAlignment="1" applyProtection="1">
      <alignment horizontal="right" wrapText="1"/>
    </xf>
    <xf numFmtId="0" fontId="23" fillId="0" borderId="85" xfId="0" applyFont="1" applyFill="1" applyBorder="1" applyAlignment="1" applyProtection="1">
      <alignment horizontal="right" wrapText="1"/>
    </xf>
    <xf numFmtId="0" fontId="27" fillId="0" borderId="0" xfId="0" applyFont="1" applyAlignment="1" applyProtection="1"/>
    <xf numFmtId="0" fontId="22" fillId="0" borderId="0" xfId="0" applyFont="1" applyBorder="1" applyAlignment="1" applyProtection="1">
      <alignment horizontal="right" wrapText="1"/>
    </xf>
    <xf numFmtId="0" fontId="22" fillId="0" borderId="18" xfId="0" applyFont="1" applyBorder="1" applyAlignment="1" applyProtection="1">
      <alignment horizontal="right" wrapText="1"/>
    </xf>
    <xf numFmtId="0" fontId="23" fillId="0" borderId="0" xfId="51" applyFont="1" applyFill="1" applyAlignment="1" applyProtection="1">
      <alignment horizontal="right"/>
    </xf>
    <xf numFmtId="3" fontId="21" fillId="0" borderId="0" xfId="0" applyNumberFormat="1" applyFont="1" applyFill="1" applyBorder="1" applyAlignment="1" applyProtection="1">
      <alignment horizontal="right" vertical="center"/>
    </xf>
    <xf numFmtId="0" fontId="22" fillId="0" borderId="24" xfId="0" applyFont="1" applyFill="1" applyBorder="1" applyAlignment="1" applyProtection="1">
      <alignment horizontal="right"/>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174" fontId="23" fillId="0" borderId="24" xfId="0" applyNumberFormat="1" applyFont="1" applyFill="1" applyBorder="1" applyAlignment="1" applyProtection="1">
      <alignment horizontal="right" vertical="center"/>
    </xf>
    <xf numFmtId="0" fontId="23" fillId="0" borderId="0" xfId="38" applyFont="1" applyAlignment="1" applyProtection="1">
      <alignment horizontal="right" wrapText="1"/>
    </xf>
    <xf numFmtId="3" fontId="23" fillId="0" borderId="0" xfId="38" applyNumberFormat="1" applyFont="1" applyFill="1" applyBorder="1" applyAlignment="1" applyProtection="1">
      <alignment horizontal="right"/>
    </xf>
    <xf numFmtId="0" fontId="23" fillId="0" borderId="0" xfId="0" applyFont="1" applyFill="1" applyAlignment="1" applyProtection="1">
      <alignment wrapText="1"/>
    </xf>
    <xf numFmtId="0" fontId="23" fillId="0" borderId="0" xfId="0" applyFont="1" applyFill="1" applyAlignment="1" applyProtection="1"/>
    <xf numFmtId="3" fontId="22" fillId="0" borderId="0" xfId="0" applyNumberFormat="1" applyFont="1" applyFill="1" applyBorder="1" applyAlignment="1" applyProtection="1">
      <alignment horizontal="right" vertical="center"/>
    </xf>
    <xf numFmtId="4" fontId="23" fillId="0" borderId="89" xfId="0" applyNumberFormat="1" applyFont="1" applyFill="1" applyBorder="1" applyProtection="1"/>
    <xf numFmtId="4" fontId="37" fillId="25" borderId="45" xfId="0" applyNumberFormat="1" applyFont="1" applyFill="1" applyBorder="1" applyProtection="1"/>
    <xf numFmtId="4" fontId="37" fillId="25" borderId="46" xfId="0" applyNumberFormat="1" applyFont="1" applyFill="1" applyBorder="1" applyProtection="1"/>
    <xf numFmtId="4" fontId="37" fillId="25" borderId="47" xfId="0" applyNumberFormat="1" applyFont="1" applyFill="1" applyBorder="1" applyProtection="1"/>
    <xf numFmtId="4" fontId="37" fillId="25" borderId="48" xfId="0" applyNumberFormat="1" applyFont="1" applyFill="1" applyBorder="1" applyProtection="1"/>
    <xf numFmtId="4" fontId="37" fillId="25" borderId="49" xfId="0" applyNumberFormat="1" applyFont="1" applyFill="1" applyBorder="1" applyProtection="1"/>
    <xf numFmtId="170" fontId="37" fillId="25" borderId="47" xfId="0" applyNumberFormat="1" applyFont="1" applyFill="1" applyBorder="1" applyProtection="1"/>
    <xf numFmtId="170" fontId="37" fillId="25" borderId="48" xfId="0" applyNumberFormat="1" applyFont="1" applyFill="1" applyBorder="1" applyProtection="1"/>
    <xf numFmtId="170" fontId="37" fillId="25" borderId="46" xfId="0" applyNumberFormat="1" applyFont="1" applyFill="1" applyBorder="1" applyProtection="1"/>
    <xf numFmtId="170" fontId="37" fillId="25" borderId="49" xfId="0" applyNumberFormat="1" applyFont="1" applyFill="1" applyBorder="1" applyProtection="1"/>
    <xf numFmtId="4" fontId="37" fillId="25" borderId="50" xfId="0" applyNumberFormat="1" applyFont="1" applyFill="1" applyBorder="1" applyProtection="1"/>
    <xf numFmtId="4" fontId="37" fillId="25" borderId="51" xfId="0" applyNumberFormat="1" applyFont="1" applyFill="1" applyBorder="1" applyProtection="1"/>
    <xf numFmtId="4" fontId="37" fillId="25" borderId="52" xfId="0" applyNumberFormat="1" applyFont="1" applyFill="1" applyBorder="1" applyProtection="1"/>
    <xf numFmtId="170" fontId="37" fillId="25" borderId="50" xfId="0" applyNumberFormat="1" applyFont="1" applyFill="1" applyBorder="1" applyProtection="1"/>
    <xf numFmtId="170" fontId="37" fillId="25" borderId="51" xfId="0" applyNumberFormat="1" applyFont="1" applyFill="1" applyBorder="1" applyProtection="1"/>
    <xf numFmtId="3" fontId="37" fillId="25" borderId="46" xfId="0" applyNumberFormat="1" applyFont="1" applyFill="1" applyBorder="1" applyProtection="1"/>
    <xf numFmtId="3" fontId="37" fillId="25" borderId="47" xfId="0" applyNumberFormat="1" applyFont="1" applyFill="1" applyBorder="1" applyProtection="1"/>
    <xf numFmtId="3" fontId="37" fillId="25" borderId="49" xfId="0" applyNumberFormat="1" applyFont="1" applyFill="1" applyBorder="1" applyProtection="1"/>
    <xf numFmtId="3" fontId="37" fillId="25" borderId="48" xfId="0" applyNumberFormat="1" applyFont="1" applyFill="1" applyBorder="1" applyProtection="1"/>
    <xf numFmtId="3" fontId="37" fillId="25" borderId="51" xfId="0" applyNumberFormat="1" applyFont="1" applyFill="1" applyBorder="1" applyProtection="1"/>
    <xf numFmtId="3" fontId="37" fillId="25" borderId="58" xfId="0" applyNumberFormat="1" applyFont="1" applyFill="1" applyBorder="1" applyAlignment="1" applyProtection="1">
      <alignment vertical="center"/>
    </xf>
    <xf numFmtId="3" fontId="37" fillId="25" borderId="59" xfId="0" applyNumberFormat="1" applyFont="1" applyFill="1" applyBorder="1" applyAlignment="1" applyProtection="1">
      <alignment vertical="center"/>
    </xf>
    <xf numFmtId="4" fontId="37" fillId="25" borderId="64" xfId="49" applyNumberFormat="1" applyFont="1" applyFill="1" applyBorder="1" applyAlignment="1" applyProtection="1">
      <alignment vertical="center"/>
    </xf>
    <xf numFmtId="4" fontId="37" fillId="25" borderId="62" xfId="49" applyNumberFormat="1" applyFont="1" applyFill="1" applyBorder="1" applyAlignment="1" applyProtection="1">
      <alignment vertical="center"/>
    </xf>
    <xf numFmtId="4" fontId="37" fillId="25" borderId="47" xfId="49" applyNumberFormat="1" applyFont="1" applyFill="1" applyBorder="1" applyAlignment="1" applyProtection="1">
      <alignment vertical="center"/>
    </xf>
    <xf numFmtId="4" fontId="37" fillId="25" borderId="61" xfId="49" applyNumberFormat="1" applyFont="1" applyFill="1" applyBorder="1" applyAlignment="1" applyProtection="1">
      <alignment vertical="center"/>
    </xf>
    <xf numFmtId="4" fontId="37" fillId="25" borderId="68" xfId="49" applyNumberFormat="1" applyFont="1" applyFill="1" applyBorder="1" applyAlignment="1" applyProtection="1">
      <alignment vertical="center"/>
    </xf>
    <xf numFmtId="4" fontId="37" fillId="25" borderId="68" xfId="0" applyNumberFormat="1" applyFont="1" applyFill="1" applyBorder="1" applyAlignment="1" applyProtection="1">
      <alignment vertical="center" wrapText="1"/>
    </xf>
    <xf numFmtId="4" fontId="37" fillId="25" borderId="50" xfId="49" applyNumberFormat="1" applyFont="1" applyFill="1" applyBorder="1" applyAlignment="1" applyProtection="1">
      <alignment vertical="center"/>
    </xf>
    <xf numFmtId="4" fontId="37" fillId="25" borderId="48" xfId="49" applyNumberFormat="1" applyFont="1" applyFill="1" applyBorder="1" applyAlignment="1" applyProtection="1">
      <alignment vertical="center"/>
    </xf>
    <xf numFmtId="4" fontId="37" fillId="25" borderId="51" xfId="49" applyNumberFormat="1" applyFont="1" applyFill="1" applyBorder="1" applyAlignment="1" applyProtection="1">
      <alignment vertical="center"/>
    </xf>
    <xf numFmtId="4" fontId="37" fillId="25" borderId="51" xfId="0" applyNumberFormat="1" applyFont="1" applyFill="1" applyBorder="1" applyAlignment="1" applyProtection="1">
      <alignment vertical="center" wrapText="1"/>
    </xf>
    <xf numFmtId="3" fontId="37" fillId="25" borderId="47" xfId="49" applyNumberFormat="1" applyFont="1" applyFill="1" applyBorder="1" applyAlignment="1" applyProtection="1">
      <alignment vertical="center"/>
    </xf>
    <xf numFmtId="3" fontId="37" fillId="25" borderId="50" xfId="49" applyNumberFormat="1" applyFont="1" applyFill="1" applyBorder="1" applyAlignment="1" applyProtection="1">
      <alignment vertical="center"/>
    </xf>
    <xf numFmtId="4" fontId="37" fillId="25" borderId="66" xfId="49" applyNumberFormat="1" applyFont="1" applyFill="1" applyBorder="1" applyAlignment="1" applyProtection="1">
      <alignment vertical="center"/>
    </xf>
    <xf numFmtId="3" fontId="37" fillId="25" borderId="48" xfId="49" applyNumberFormat="1" applyFont="1" applyFill="1" applyBorder="1" applyAlignment="1" applyProtection="1">
      <alignment vertical="center"/>
    </xf>
    <xf numFmtId="4" fontId="37" fillId="25" borderId="12" xfId="0" applyNumberFormat="1" applyFont="1" applyFill="1" applyBorder="1" applyProtection="1"/>
    <xf numFmtId="4" fontId="37" fillId="25" borderId="73" xfId="0" applyNumberFormat="1" applyFont="1" applyFill="1" applyBorder="1" applyProtection="1"/>
    <xf numFmtId="4" fontId="37" fillId="25" borderId="16" xfId="0" applyNumberFormat="1" applyFont="1" applyFill="1" applyBorder="1" applyProtection="1"/>
    <xf numFmtId="4" fontId="37" fillId="25" borderId="75" xfId="0" applyNumberFormat="1" applyFont="1" applyFill="1" applyBorder="1" applyProtection="1"/>
    <xf numFmtId="4" fontId="37" fillId="25" borderId="17" xfId="0" applyNumberFormat="1" applyFont="1" applyFill="1" applyBorder="1" applyProtection="1"/>
    <xf numFmtId="4" fontId="37" fillId="25" borderId="40" xfId="0" applyNumberFormat="1" applyFont="1" applyFill="1" applyBorder="1" applyProtection="1"/>
    <xf numFmtId="3" fontId="37" fillId="25" borderId="50" xfId="44" applyNumberFormat="1" applyFont="1" applyFill="1" applyBorder="1" applyProtection="1"/>
    <xf numFmtId="4" fontId="37" fillId="25" borderId="48" xfId="44" applyNumberFormat="1" applyFont="1" applyFill="1" applyBorder="1" applyProtection="1"/>
    <xf numFmtId="3" fontId="37" fillId="25" borderId="47" xfId="44" applyNumberFormat="1" applyFont="1" applyFill="1" applyBorder="1" applyProtection="1"/>
    <xf numFmtId="4" fontId="37" fillId="25" borderId="47" xfId="44" applyNumberFormat="1" applyFont="1" applyFill="1" applyBorder="1" applyProtection="1"/>
    <xf numFmtId="4" fontId="37" fillId="25" borderId="73" xfId="44" applyNumberFormat="1" applyFont="1" applyFill="1" applyBorder="1" applyProtection="1"/>
    <xf numFmtId="4" fontId="37" fillId="25" borderId="50" xfId="44" applyNumberFormat="1" applyFont="1" applyFill="1" applyBorder="1" applyProtection="1"/>
    <xf numFmtId="4" fontId="37" fillId="25" borderId="51" xfId="44" applyNumberFormat="1" applyFont="1" applyFill="1" applyBorder="1" applyProtection="1"/>
    <xf numFmtId="3" fontId="37" fillId="25" borderId="45" xfId="44" applyNumberFormat="1" applyFont="1" applyFill="1" applyBorder="1" applyProtection="1"/>
    <xf numFmtId="4" fontId="37" fillId="25" borderId="45" xfId="44" applyNumberFormat="1" applyFont="1" applyFill="1" applyBorder="1" applyProtection="1"/>
    <xf numFmtId="3" fontId="37" fillId="25" borderId="48" xfId="44" applyNumberFormat="1" applyFont="1" applyFill="1" applyBorder="1" applyProtection="1"/>
    <xf numFmtId="4" fontId="37" fillId="25" borderId="49" xfId="44" applyNumberFormat="1" applyFont="1" applyFill="1" applyBorder="1" applyProtection="1"/>
    <xf numFmtId="3" fontId="37" fillId="25" borderId="51" xfId="44" applyNumberFormat="1" applyFont="1" applyFill="1" applyBorder="1" applyProtection="1"/>
    <xf numFmtId="3" fontId="37" fillId="25" borderId="12" xfId="44" applyNumberFormat="1" applyFont="1" applyFill="1" applyBorder="1" applyProtection="1"/>
    <xf numFmtId="4" fontId="37" fillId="25" borderId="12" xfId="44" applyNumberFormat="1" applyFont="1" applyFill="1" applyBorder="1" applyProtection="1"/>
    <xf numFmtId="4" fontId="37" fillId="25" borderId="16" xfId="44" applyNumberFormat="1" applyFont="1" applyFill="1" applyBorder="1" applyProtection="1"/>
    <xf numFmtId="4" fontId="37" fillId="25" borderId="75" xfId="44" applyNumberFormat="1" applyFont="1" applyFill="1" applyBorder="1" applyProtection="1"/>
    <xf numFmtId="3" fontId="37" fillId="25" borderId="73" xfId="44" applyNumberFormat="1" applyFont="1" applyFill="1" applyBorder="1" applyProtection="1"/>
    <xf numFmtId="3" fontId="37" fillId="25" borderId="40" xfId="44" applyNumberFormat="1" applyFont="1" applyFill="1" applyBorder="1" applyProtection="1"/>
    <xf numFmtId="3" fontId="37" fillId="25" borderId="16" xfId="44" applyNumberFormat="1" applyFont="1" applyFill="1" applyBorder="1" applyProtection="1"/>
    <xf numFmtId="3" fontId="37" fillId="25" borderId="75" xfId="44" applyNumberFormat="1" applyFont="1" applyFill="1" applyBorder="1" applyProtection="1"/>
    <xf numFmtId="3" fontId="37" fillId="25" borderId="17" xfId="44" applyNumberFormat="1" applyFont="1" applyFill="1" applyBorder="1" applyProtection="1"/>
    <xf numFmtId="3" fontId="37" fillId="25" borderId="16" xfId="0" applyNumberFormat="1" applyFont="1" applyFill="1" applyBorder="1" applyProtection="1"/>
    <xf numFmtId="3" fontId="37" fillId="25" borderId="17" xfId="0" applyNumberFormat="1" applyFont="1" applyFill="1" applyBorder="1" applyProtection="1"/>
    <xf numFmtId="3" fontId="37" fillId="25" borderId="75" xfId="0" applyNumberFormat="1" applyFont="1" applyFill="1" applyBorder="1" applyProtection="1"/>
    <xf numFmtId="3" fontId="37" fillId="25" borderId="50" xfId="0" applyNumberFormat="1" applyFont="1" applyFill="1" applyBorder="1" applyProtection="1"/>
    <xf numFmtId="3" fontId="37" fillId="25" borderId="73" xfId="0" applyNumberFormat="1" applyFont="1" applyFill="1" applyBorder="1" applyProtection="1"/>
    <xf numFmtId="4" fontId="23" fillId="0" borderId="0" xfId="0" applyNumberFormat="1" applyFont="1" applyFill="1" applyAlignment="1" applyProtection="1">
      <alignment horizontal="right"/>
    </xf>
    <xf numFmtId="3" fontId="23" fillId="0" borderId="0" xfId="38" applyNumberFormat="1" applyFont="1" applyAlignment="1" applyProtection="1">
      <alignment horizontal="left" wrapText="1"/>
    </xf>
    <xf numFmtId="3" fontId="23" fillId="0" borderId="0" xfId="38" applyNumberFormat="1" applyFont="1" applyFill="1" applyAlignment="1" applyProtection="1">
      <alignment horizontal="left" wrapText="1"/>
    </xf>
    <xf numFmtId="3" fontId="37" fillId="25" borderId="0" xfId="0" applyNumberFormat="1" applyFont="1" applyFill="1" applyAlignment="1" applyProtection="1">
      <alignment vertical="center"/>
    </xf>
    <xf numFmtId="0" fontId="32" fillId="0" borderId="0" xfId="51" applyFont="1" applyAlignment="1" applyProtection="1"/>
    <xf numFmtId="0" fontId="3" fillId="0" borderId="0" xfId="0" applyFont="1" applyProtection="1"/>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12" xfId="38"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3" fontId="23" fillId="0" borderId="0" xfId="38" applyNumberFormat="1" applyFont="1" applyFill="1" applyBorder="1" applyAlignment="1" applyProtection="1">
      <alignment horizontal="center" vertical="center"/>
    </xf>
    <xf numFmtId="4" fontId="23" fillId="0" borderId="0" xfId="0" applyNumberFormat="1" applyFont="1" applyFill="1" applyAlignment="1" applyProtection="1">
      <alignment horizontal="right" vertical="center"/>
    </xf>
    <xf numFmtId="0" fontId="3" fillId="0" borderId="0" xfId="0" applyFont="1" applyBorder="1" applyProtection="1"/>
    <xf numFmtId="0" fontId="3" fillId="0" borderId="0" xfId="0" applyFont="1" applyFill="1" applyBorder="1" applyProtection="1"/>
    <xf numFmtId="3" fontId="22" fillId="0" borderId="12" xfId="0" applyNumberFormat="1" applyFont="1" applyFill="1" applyBorder="1" applyAlignment="1" applyProtection="1">
      <alignment horizontal="right" vertical="center"/>
    </xf>
    <xf numFmtId="3" fontId="22" fillId="0" borderId="24" xfId="0" applyNumberFormat="1" applyFont="1" applyFill="1" applyBorder="1" applyAlignment="1" applyProtection="1">
      <alignment horizontal="right" vertical="center"/>
    </xf>
    <xf numFmtId="3" fontId="23" fillId="0" borderId="24" xfId="0" applyNumberFormat="1" applyFont="1" applyFill="1" applyBorder="1" applyAlignment="1" applyProtection="1">
      <alignment vertical="center" wrapText="1"/>
    </xf>
    <xf numFmtId="169" fontId="23" fillId="0" borderId="0" xfId="0" applyNumberFormat="1" applyFont="1" applyFill="1" applyAlignment="1" applyProtection="1">
      <alignment horizontal="center" vertical="center"/>
    </xf>
    <xf numFmtId="0" fontId="32" fillId="0" borderId="0" xfId="51" applyFont="1" applyAlignment="1" applyProtection="1"/>
    <xf numFmtId="0" fontId="38" fillId="0" borderId="0" xfId="0" applyFont="1" applyAlignment="1" applyProtection="1">
      <alignment horizontal="center" vertical="center"/>
    </xf>
    <xf numFmtId="0" fontId="36" fillId="0" borderId="0" xfId="0" applyFont="1" applyAlignment="1" applyProtection="1">
      <alignment horizontal="center" vertical="center"/>
    </xf>
    <xf numFmtId="0" fontId="31" fillId="0" borderId="0" xfId="0" applyFont="1" applyProtection="1"/>
    <xf numFmtId="0" fontId="3" fillId="0" borderId="0" xfId="0" applyFont="1" applyAlignment="1" applyProtection="1">
      <alignment horizontal="center"/>
    </xf>
    <xf numFmtId="0" fontId="30" fillId="0" borderId="0" xfId="0" applyFont="1" applyAlignment="1" applyProtection="1">
      <alignment horizontal="center"/>
    </xf>
    <xf numFmtId="0" fontId="27" fillId="0" borderId="0" xfId="0" applyFont="1" applyAlignment="1" applyProtection="1">
      <alignment horizontal="left"/>
    </xf>
    <xf numFmtId="0" fontId="22" fillId="0" borderId="19" xfId="51" applyFont="1" applyBorder="1" applyAlignment="1" applyProtection="1">
      <alignment horizontal="left" vertical="center"/>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1" fillId="0" borderId="18" xfId="0" applyFont="1" applyFill="1" applyBorder="1" applyAlignment="1" applyProtection="1">
      <alignment horizontal="center" vertical="top"/>
    </xf>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0" xfId="38" applyFont="1" applyFill="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2" fillId="0" borderId="29"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22" fillId="0" borderId="19" xfId="38" applyFont="1" applyBorder="1" applyAlignment="1" applyProtection="1">
      <alignment horizontal="right" vertical="center"/>
    </xf>
    <xf numFmtId="0" fontId="23" fillId="0" borderId="14" xfId="38" applyFont="1" applyFill="1" applyBorder="1" applyAlignment="1" applyProtection="1">
      <alignment horizontal="right"/>
    </xf>
    <xf numFmtId="0" fontId="23" fillId="0" borderId="0" xfId="38" applyFont="1" applyFill="1" applyBorder="1" applyAlignment="1" applyProtection="1">
      <alignment horizontal="right" vertical="center" wrapText="1"/>
    </xf>
    <xf numFmtId="0" fontId="23" fillId="0" borderId="13" xfId="38" applyFont="1" applyFill="1" applyBorder="1" applyAlignment="1" applyProtection="1">
      <alignment horizontal="right" vertical="center" wrapText="1"/>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86" xfId="0" applyFont="1" applyBorder="1" applyAlignment="1" applyProtection="1">
      <alignment horizontal="center"/>
    </xf>
    <xf numFmtId="0" fontId="23" fillId="0" borderId="19" xfId="0" applyFont="1" applyBorder="1" applyAlignment="1" applyProtection="1">
      <alignment horizontal="center"/>
    </xf>
    <xf numFmtId="0" fontId="23" fillId="0" borderId="32" xfId="0" applyFont="1" applyBorder="1" applyAlignment="1" applyProtection="1">
      <alignment horizontal="center"/>
    </xf>
    <xf numFmtId="0" fontId="23" fillId="0" borderId="26" xfId="0" applyFont="1" applyBorder="1" applyAlignment="1" applyProtection="1">
      <alignment horizontal="center"/>
    </xf>
    <xf numFmtId="0" fontId="23" fillId="0" borderId="84"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85"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83"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43" xfId="0" applyFont="1" applyBorder="1" applyAlignment="1" applyProtection="1">
      <alignment horizontal="center" vertical="center" wrapText="1"/>
    </xf>
    <xf numFmtId="0" fontId="23" fillId="0" borderId="88"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28" xfId="50" applyFont="1" applyFill="1" applyBorder="1" applyAlignment="1" applyProtection="1">
      <alignment horizontal="center" vertical="center" wrapText="1"/>
    </xf>
    <xf numFmtId="0" fontId="23" fillId="0" borderId="10" xfId="50" applyFont="1" applyFill="1" applyBorder="1" applyAlignment="1" applyProtection="1">
      <alignment horizontal="center" vertical="center" wrapText="1"/>
    </xf>
    <xf numFmtId="0" fontId="23" fillId="0" borderId="3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wrapText="1"/>
    </xf>
    <xf numFmtId="0" fontId="22" fillId="0" borderId="39"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72" xfId="0" applyFont="1" applyBorder="1" applyAlignment="1" applyProtection="1">
      <alignment horizontal="left" wrapText="1"/>
    </xf>
    <xf numFmtId="0" fontId="23" fillId="0" borderId="0" xfId="0" applyFont="1" applyBorder="1" applyAlignment="1" applyProtection="1">
      <alignment horizontal="left" wrapText="1"/>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xf numFmtId="0" fontId="21" fillId="0" borderId="0" xfId="0" applyFont="1" applyFill="1" applyAlignment="1" applyProtection="1">
      <alignment horizontal="left"/>
    </xf>
    <xf numFmtId="0" fontId="39" fillId="0" borderId="0" xfId="0" applyFont="1" applyAlignment="1" applyProtection="1">
      <alignment horizontal="center" vertical="center"/>
    </xf>
    <xf numFmtId="0" fontId="27" fillId="0" borderId="0" xfId="0" applyFont="1" applyAlignment="1" applyProtection="1">
      <alignment horizontal="left" vertical="top"/>
    </xf>
    <xf numFmtId="0" fontId="27" fillId="0" borderId="0" xfId="38" applyFont="1" applyAlignment="1" applyProtection="1">
      <alignment horizontal="left" vertical="top"/>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cellStyle name="Normal 2 2" xfId="47"/>
    <cellStyle name="Normal 3" xfId="48"/>
    <cellStyle name="Normal 8" xfId="44"/>
    <cellStyle name="Normal_Funding calculation template for ASNs and transfers" xfId="50"/>
    <cellStyle name="Normal_jul0038" xfId="37"/>
    <cellStyle name="Normal_jul0047 2" xfId="45"/>
    <cellStyle name="Normal_martab" xfId="49"/>
    <cellStyle name="Normal_wpdb_"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3">
    <dxf>
      <font>
        <color theme="0" tint="-0.14996795556505021"/>
      </font>
    </dxf>
    <dxf>
      <font>
        <color theme="0" tint="-0.14996795556505021"/>
      </font>
    </dxf>
    <dxf>
      <font>
        <color theme="0" tint="-0.24994659260841701"/>
      </font>
    </dxf>
    <dxf>
      <font>
        <color theme="0" tint="-0.24994659260841701"/>
      </font>
      <fill>
        <patternFill patternType="none">
          <bgColor auto="1"/>
        </patternFill>
      </fill>
    </dxf>
    <dxf>
      <font>
        <color theme="0" tint="-0.24994659260841701"/>
      </font>
    </dxf>
    <dxf>
      <font>
        <strike val="0"/>
        <color theme="0" tint="-0.2499465926084170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color theme="0" tint="-0.24994659260841701"/>
      </font>
    </dxf>
    <dxf>
      <font>
        <b val="0"/>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1587210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5"/>
  <sheetViews>
    <sheetView showGridLines="0" tabSelected="1" zoomScaleNormal="100" workbookViewId="0">
      <selection sqref="A1:M1"/>
    </sheetView>
  </sheetViews>
  <sheetFormatPr defaultRowHeight="12.75" x14ac:dyDescent="0.2"/>
  <cols>
    <col min="1" max="18" width="9.140625" style="477"/>
    <col min="19" max="20" width="9.140625" style="477" hidden="1" customWidth="1"/>
    <col min="21" max="16384" width="9.140625" style="477"/>
  </cols>
  <sheetData>
    <row r="1" spans="1:20" x14ac:dyDescent="0.2">
      <c r="A1" s="500"/>
      <c r="B1" s="500"/>
      <c r="C1" s="500"/>
      <c r="D1" s="500"/>
      <c r="E1" s="500"/>
      <c r="F1" s="500"/>
      <c r="G1" s="500"/>
      <c r="H1" s="500"/>
      <c r="I1" s="500"/>
      <c r="J1" s="500"/>
      <c r="K1" s="500"/>
      <c r="L1" s="500"/>
      <c r="M1" s="500"/>
    </row>
    <row r="2" spans="1:20" ht="132.75" customHeight="1" x14ac:dyDescent="0.2">
      <c r="A2" s="501"/>
      <c r="B2" s="501"/>
      <c r="C2" s="501"/>
      <c r="D2" s="501"/>
      <c r="E2" s="501"/>
      <c r="F2" s="501"/>
      <c r="G2" s="501"/>
      <c r="H2" s="501"/>
      <c r="I2" s="501"/>
      <c r="J2" s="501"/>
      <c r="K2" s="501"/>
      <c r="L2" s="501"/>
      <c r="M2" s="501"/>
      <c r="N2" s="1"/>
      <c r="O2" s="1"/>
    </row>
    <row r="3" spans="1:20" s="3" customFormat="1" ht="45.75" customHeight="1" x14ac:dyDescent="0.45">
      <c r="A3" s="497" t="s">
        <v>233</v>
      </c>
      <c r="B3" s="497"/>
      <c r="C3" s="497"/>
      <c r="D3" s="497"/>
      <c r="E3" s="497"/>
      <c r="F3" s="497"/>
      <c r="G3" s="497"/>
      <c r="H3" s="497"/>
      <c r="I3" s="497"/>
      <c r="J3" s="497"/>
      <c r="K3" s="497"/>
      <c r="L3" s="497"/>
      <c r="M3" s="497"/>
      <c r="N3" s="2"/>
      <c r="O3" s="2"/>
      <c r="P3" s="2"/>
      <c r="Q3" s="2"/>
    </row>
    <row r="4" spans="1:20" s="3" customFormat="1" ht="55.5" customHeight="1" x14ac:dyDescent="0.45">
      <c r="A4" s="565" t="str">
        <f>'A Summary'!J6</f>
        <v>Providers registered in the 'Approved (fee cap)' category by 15 April 2019</v>
      </c>
      <c r="B4" s="565" t="str">
        <f t="shared" ref="B4:M4" si="0">IF(PROVIDER="","Institution",PROVIDER)</f>
        <v>Providers registered in the 'Approved (fee cap)' category by 15 April 2019</v>
      </c>
      <c r="C4" s="565" t="str">
        <f t="shared" si="0"/>
        <v>Providers registered in the 'Approved (fee cap)' category by 15 April 2019</v>
      </c>
      <c r="D4" s="565" t="str">
        <f t="shared" si="0"/>
        <v>Providers registered in the 'Approved (fee cap)' category by 15 April 2019</v>
      </c>
      <c r="E4" s="565" t="str">
        <f t="shared" si="0"/>
        <v>Providers registered in the 'Approved (fee cap)' category by 15 April 2019</v>
      </c>
      <c r="F4" s="565" t="str">
        <f t="shared" si="0"/>
        <v>Providers registered in the 'Approved (fee cap)' category by 15 April 2019</v>
      </c>
      <c r="G4" s="565" t="str">
        <f t="shared" si="0"/>
        <v>Providers registered in the 'Approved (fee cap)' category by 15 April 2019</v>
      </c>
      <c r="H4" s="565" t="str">
        <f t="shared" si="0"/>
        <v>Providers registered in the 'Approved (fee cap)' category by 15 April 2019</v>
      </c>
      <c r="I4" s="565" t="str">
        <f t="shared" si="0"/>
        <v>Providers registered in the 'Approved (fee cap)' category by 15 April 2019</v>
      </c>
      <c r="J4" s="565" t="str">
        <f t="shared" si="0"/>
        <v>Providers registered in the 'Approved (fee cap)' category by 15 April 2019</v>
      </c>
      <c r="K4" s="565" t="str">
        <f t="shared" si="0"/>
        <v>Providers registered in the 'Approved (fee cap)' category by 15 April 2019</v>
      </c>
      <c r="L4" s="565" t="str">
        <f t="shared" si="0"/>
        <v>Providers registered in the 'Approved (fee cap)' category by 15 April 2019</v>
      </c>
      <c r="M4" s="565" t="str">
        <f t="shared" si="0"/>
        <v>Providers registered in the 'Approved (fee cap)' category by 15 April 2019</v>
      </c>
      <c r="N4" s="2"/>
      <c r="O4" s="2"/>
      <c r="P4" s="2"/>
      <c r="Q4" s="2"/>
    </row>
    <row r="5" spans="1:20" s="3" customFormat="1" ht="33" x14ac:dyDescent="0.45">
      <c r="A5" s="498" t="str">
        <f>IF(UKPRN="","UKPRN: 100XXXXX","UKPRN: "&amp;UKPRN&amp;"")</f>
        <v>UKPRN: ALL</v>
      </c>
      <c r="B5" s="498"/>
      <c r="C5" s="498"/>
      <c r="D5" s="498"/>
      <c r="E5" s="498"/>
      <c r="F5" s="498"/>
      <c r="G5" s="498"/>
      <c r="H5" s="498"/>
      <c r="I5" s="498"/>
      <c r="J5" s="498"/>
      <c r="K5" s="498"/>
      <c r="L5" s="498"/>
      <c r="M5" s="498"/>
      <c r="N5" s="4"/>
      <c r="O5" s="4"/>
      <c r="P5" s="4"/>
      <c r="Q5" s="4"/>
    </row>
    <row r="6" spans="1:20" x14ac:dyDescent="0.2">
      <c r="A6" s="500"/>
      <c r="B6" s="500"/>
      <c r="C6" s="500"/>
      <c r="D6" s="500"/>
      <c r="E6" s="500"/>
      <c r="F6" s="500"/>
      <c r="G6" s="500"/>
      <c r="H6" s="500"/>
      <c r="I6" s="500"/>
      <c r="J6" s="500"/>
      <c r="K6" s="500"/>
      <c r="L6" s="500"/>
      <c r="M6" s="500"/>
    </row>
    <row r="7" spans="1:20" ht="15" x14ac:dyDescent="0.25">
      <c r="A7" s="499" t="s">
        <v>34</v>
      </c>
      <c r="B7" s="499"/>
      <c r="C7" s="499"/>
      <c r="D7" s="499"/>
      <c r="E7" s="499"/>
      <c r="F7" s="499"/>
      <c r="G7" s="499"/>
      <c r="H7" s="499"/>
      <c r="I7" s="499"/>
      <c r="J7" s="499"/>
      <c r="K7" s="499"/>
      <c r="L7" s="499"/>
      <c r="M7" s="499"/>
    </row>
    <row r="8" spans="1:20" ht="15" customHeight="1" x14ac:dyDescent="0.2">
      <c r="A8" s="496" t="str">
        <f>"A Summary: "&amp;MID('A Summary'!A3,10,100)</f>
        <v>A Summary: 2019-20 Summary of allocations</v>
      </c>
      <c r="B8" s="496"/>
      <c r="C8" s="496"/>
      <c r="D8" s="496"/>
      <c r="E8" s="496"/>
      <c r="F8" s="496"/>
      <c r="G8" s="496"/>
      <c r="H8" s="496"/>
      <c r="I8" s="496"/>
      <c r="J8" s="496"/>
      <c r="K8" s="496"/>
      <c r="L8" s="496"/>
      <c r="M8" s="496"/>
      <c r="N8" s="476"/>
      <c r="O8" s="476"/>
    </row>
    <row r="9" spans="1:20" ht="15" customHeight="1" x14ac:dyDescent="0.2">
      <c r="A9" s="496" t="str">
        <f>"B High-cost: "&amp;MID('B High-cost'!A3,10,100)</f>
        <v>B High-cost: 2019-20 High-cost subject funding</v>
      </c>
      <c r="B9" s="496"/>
      <c r="C9" s="496"/>
      <c r="D9" s="496"/>
      <c r="E9" s="496"/>
      <c r="F9" s="496"/>
      <c r="G9" s="496"/>
      <c r="H9" s="496"/>
      <c r="I9" s="496"/>
      <c r="J9" s="496"/>
      <c r="K9" s="496"/>
      <c r="L9" s="496"/>
      <c r="M9" s="496"/>
      <c r="N9" s="476"/>
      <c r="O9" s="476"/>
    </row>
    <row r="10" spans="1:20" ht="15" customHeight="1" x14ac:dyDescent="0.2">
      <c r="A10" s="496" t="str">
        <f>"C Student premium: "&amp;MID('C Student premium'!A3,10,100)</f>
        <v>C Student premium: 2019-20 Student premium allocations</v>
      </c>
      <c r="B10" s="496"/>
      <c r="C10" s="496"/>
      <c r="D10" s="496"/>
      <c r="E10" s="496"/>
      <c r="F10" s="496"/>
      <c r="G10" s="496"/>
      <c r="H10" s="496"/>
      <c r="I10" s="496"/>
      <c r="J10" s="496"/>
      <c r="K10" s="496"/>
      <c r="L10" s="496"/>
      <c r="M10" s="496"/>
      <c r="N10" s="476"/>
      <c r="O10" s="476"/>
    </row>
    <row r="11" spans="1:20" ht="15" customHeight="1" x14ac:dyDescent="0.2">
      <c r="A11" s="496" t="str">
        <f>"D Erasmus+: "&amp;MID('D Erasmus+'!A3,10,100)</f>
        <v>D Erasmus+: 2019-20 Erasmus+ and overseas study programmes</v>
      </c>
      <c r="B11" s="496"/>
      <c r="C11" s="496"/>
      <c r="D11" s="496"/>
      <c r="E11" s="496"/>
      <c r="F11" s="496"/>
      <c r="G11" s="496"/>
      <c r="H11" s="496"/>
      <c r="I11" s="496"/>
      <c r="J11" s="496"/>
      <c r="K11" s="496"/>
      <c r="L11" s="496"/>
      <c r="M11" s="496"/>
      <c r="N11" s="476"/>
      <c r="O11" s="476"/>
      <c r="S11" s="5" t="s">
        <v>190</v>
      </c>
      <c r="T11" s="6"/>
    </row>
    <row r="12" spans="1:20" ht="15" customHeight="1" x14ac:dyDescent="0.2">
      <c r="A12" s="496" t="str">
        <f>"E NMAH supplement: "&amp;MID('E NMAH supplement'!A3,10,100)</f>
        <v>E NMAH supplement: 2019-20 Nursing, midwifery and allied health supplement</v>
      </c>
      <c r="B12" s="496"/>
      <c r="C12" s="496"/>
      <c r="D12" s="496"/>
      <c r="E12" s="496"/>
      <c r="F12" s="496"/>
      <c r="G12" s="496"/>
      <c r="H12" s="496"/>
      <c r="I12" s="496"/>
      <c r="J12" s="496"/>
      <c r="K12" s="496"/>
      <c r="L12" s="496"/>
      <c r="M12" s="496"/>
      <c r="N12" s="476"/>
      <c r="O12" s="476"/>
      <c r="S12" s="5" t="s">
        <v>196</v>
      </c>
      <c r="T12" s="8"/>
    </row>
    <row r="13" spans="1:20" ht="15" customHeight="1" x14ac:dyDescent="0.2">
      <c r="A13" s="496" t="str">
        <f>"F Very high-cost STEM subjects: "&amp;MID('F Very high-cost STEM subjects'!A3,10,100)</f>
        <v>F Very high-cost STEM subjects: 2019-20 Very high-cost STEM subjects targeted allocation</v>
      </c>
      <c r="B13" s="496"/>
      <c r="C13" s="496"/>
      <c r="D13" s="496"/>
      <c r="E13" s="496"/>
      <c r="F13" s="496"/>
      <c r="G13" s="496"/>
      <c r="H13" s="496"/>
      <c r="I13" s="496"/>
      <c r="J13" s="496"/>
      <c r="K13" s="496"/>
      <c r="L13" s="496"/>
      <c r="M13" s="496"/>
      <c r="N13" s="7"/>
      <c r="O13" s="7"/>
      <c r="P13" s="7"/>
      <c r="Q13" s="7"/>
      <c r="S13" s="5"/>
      <c r="T13" s="8"/>
    </row>
    <row r="14" spans="1:20" ht="15" customHeight="1" x14ac:dyDescent="0.2">
      <c r="A14" s="496" t="str">
        <f>"G Other TAs: "&amp;MID('G Other TAs'!A3,10,100)</f>
        <v>G Other TAs: 2019-20 Other targeted allocations</v>
      </c>
      <c r="B14" s="496"/>
      <c r="C14" s="496"/>
      <c r="D14" s="496"/>
      <c r="E14" s="496"/>
      <c r="F14" s="496"/>
      <c r="G14" s="496"/>
      <c r="H14" s="496"/>
      <c r="I14" s="496"/>
      <c r="J14" s="496"/>
      <c r="K14" s="496"/>
      <c r="L14" s="496"/>
      <c r="M14" s="496"/>
      <c r="N14" s="476"/>
      <c r="O14" s="476"/>
    </row>
    <row r="15" spans="1:20" ht="15" customHeight="1" x14ac:dyDescent="0.2">
      <c r="A15" s="496" t="str">
        <f>"H Parameters: "&amp;MID('H Parameters'!A3,10,100)</f>
        <v>H Parameters: 2019-20 Parameters in the funding models</v>
      </c>
      <c r="B15" s="496"/>
      <c r="C15" s="496"/>
      <c r="D15" s="496"/>
      <c r="E15" s="496"/>
      <c r="F15" s="496"/>
      <c r="G15" s="496"/>
      <c r="H15" s="496"/>
      <c r="I15" s="496"/>
      <c r="J15" s="496"/>
      <c r="K15" s="496"/>
      <c r="L15" s="496"/>
      <c r="M15" s="496"/>
      <c r="N15" s="476"/>
      <c r="O15" s="476"/>
    </row>
  </sheetData>
  <mergeCells count="15">
    <mergeCell ref="A14:M14"/>
    <mergeCell ref="A15:M15"/>
    <mergeCell ref="A3:M3"/>
    <mergeCell ref="A10:M10"/>
    <mergeCell ref="A13:M13"/>
    <mergeCell ref="A1:M1"/>
    <mergeCell ref="A2:M2"/>
    <mergeCell ref="A6:M6"/>
    <mergeCell ref="A12:M12"/>
    <mergeCell ref="A11:M11"/>
    <mergeCell ref="A4:M4"/>
    <mergeCell ref="A5:M5"/>
    <mergeCell ref="A7:M7"/>
    <mergeCell ref="A8:M8"/>
    <mergeCell ref="A9:M9"/>
  </mergeCells>
  <hyperlinks>
    <hyperlink ref="A9:M9" location="TABLEB" display="TABLEB"/>
    <hyperlink ref="A10:M10" location="TABLEC" display="TABLEC"/>
    <hyperlink ref="A11:M11" location="TABLED" display="TABLED"/>
    <hyperlink ref="A12:M12" location="TABLEE" display="TABLEE"/>
    <hyperlink ref="A13:M13" location="TABLEF" display="TABLEF"/>
    <hyperlink ref="A14:M14" location="TABLEG" display="TABLEG"/>
    <hyperlink ref="A15:M15" location="TABLEH" display="TABLEH"/>
    <hyperlink ref="A8:M8" location="TABLEA" display="TABLEA"/>
  </hyperlinks>
  <pageMargins left="0.70866141732283472" right="0.70866141732283472" top="0.74803149606299213" bottom="0.74803149606299213" header="0.31496062992125984" footer="0.31496062992125984"/>
  <pageSetup paperSize="9" scale="80" orientation="landscape" r:id="rId1"/>
  <headerFooter>
    <oddHeader>&amp;CPage &amp;P&amp;R2019-20 Spring individual grant tables.xlsx</oddHeader>
  </headerFooter>
  <ignoredErrors>
    <ignoredError sqref="A4:M11 A12:M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Q37"/>
  <sheetViews>
    <sheetView showGridLines="0" zoomScaleNormal="100" workbookViewId="0">
      <pane ySplit="4" topLeftCell="A5" activePane="bottomLeft" state="frozen"/>
      <selection activeCell="N9" sqref="N9"/>
      <selection pane="bottomLeft" sqref="A1:E1"/>
    </sheetView>
  </sheetViews>
  <sheetFormatPr defaultColWidth="9.140625" defaultRowHeight="13.5" x14ac:dyDescent="0.2"/>
  <cols>
    <col min="1" max="1" width="4.28515625" style="9" customWidth="1"/>
    <col min="2" max="2" width="55.85546875" style="9" bestFit="1" customWidth="1"/>
    <col min="3" max="3" width="16" style="13" customWidth="1"/>
    <col min="4" max="4" width="8.42578125" style="13" customWidth="1"/>
    <col min="5" max="5" width="20.140625" style="13" customWidth="1"/>
    <col min="6" max="6" width="13.28515625" style="13" customWidth="1"/>
    <col min="7" max="7" width="10.85546875" style="9" customWidth="1"/>
    <col min="8" max="8" width="17.5703125" style="9" hidden="1" customWidth="1"/>
    <col min="9" max="9" width="9.140625" style="9" customWidth="1"/>
    <col min="10" max="10" width="16.42578125" style="9" hidden="1" customWidth="1"/>
    <col min="11" max="11" width="9.140625" style="9" hidden="1" customWidth="1"/>
    <col min="12" max="12" width="15.140625" style="9" hidden="1" customWidth="1"/>
    <col min="13" max="13" width="11.5703125" style="9" hidden="1" customWidth="1"/>
    <col min="14" max="14" width="16.42578125" style="9" customWidth="1"/>
    <col min="15" max="16" width="9.140625" style="9" customWidth="1"/>
    <col min="17" max="16384" width="9.140625" style="9"/>
  </cols>
  <sheetData>
    <row r="1" spans="1:17" ht="15.75" customHeight="1" x14ac:dyDescent="0.2">
      <c r="A1" s="566" t="str">
        <f>J8</f>
        <v>Providers registered in the 'Approved (fee cap)' category by 15 April 2019 (UKPRN: ALL)</v>
      </c>
      <c r="B1" s="566"/>
      <c r="C1" s="566"/>
      <c r="D1" s="566"/>
      <c r="E1" s="566"/>
      <c r="J1" s="10" t="s">
        <v>214</v>
      </c>
      <c r="K1" s="10" t="s">
        <v>108</v>
      </c>
      <c r="L1" s="10" t="s">
        <v>297</v>
      </c>
      <c r="M1" s="28"/>
      <c r="N1" s="28"/>
      <c r="O1" s="28"/>
      <c r="P1" s="17"/>
      <c r="Q1" s="17"/>
    </row>
    <row r="2" spans="1:17" ht="15.75" x14ac:dyDescent="0.25">
      <c r="B2" s="11"/>
      <c r="C2" s="11"/>
      <c r="D2" s="11"/>
      <c r="E2" s="12"/>
      <c r="J2" s="14" t="s">
        <v>320</v>
      </c>
      <c r="K2" s="14" t="s">
        <v>319</v>
      </c>
      <c r="L2" s="377"/>
      <c r="M2" s="17"/>
      <c r="N2" s="17"/>
      <c r="O2" s="17"/>
      <c r="P2" s="17"/>
      <c r="Q2" s="17"/>
    </row>
    <row r="3" spans="1:17" ht="22.5" customHeight="1" thickBot="1" x14ac:dyDescent="0.25">
      <c r="A3" s="15" t="str">
        <f>K4</f>
        <v>Table A: 2019-20 Summary of allocations</v>
      </c>
      <c r="B3" s="16"/>
      <c r="E3" s="12"/>
      <c r="H3" s="17"/>
      <c r="I3" s="17"/>
      <c r="J3" s="10" t="s">
        <v>191</v>
      </c>
      <c r="K3" s="10" t="s">
        <v>88</v>
      </c>
    </row>
    <row r="4" spans="1:17" ht="58.5" customHeight="1" x14ac:dyDescent="0.2">
      <c r="A4" s="18"/>
      <c r="B4" s="18"/>
      <c r="C4" s="19" t="s">
        <v>235</v>
      </c>
      <c r="D4" s="20"/>
      <c r="E4" s="21" t="s">
        <v>216</v>
      </c>
      <c r="F4" s="20"/>
      <c r="H4" s="22" t="s">
        <v>57</v>
      </c>
      <c r="J4" s="379" t="s">
        <v>234</v>
      </c>
      <c r="K4" s="9" t="s">
        <v>253</v>
      </c>
    </row>
    <row r="5" spans="1:17" s="17" customFormat="1" ht="30" customHeight="1" x14ac:dyDescent="0.2">
      <c r="A5" s="503" t="s">
        <v>224</v>
      </c>
      <c r="B5" s="503"/>
      <c r="C5" s="23">
        <v>710583421</v>
      </c>
      <c r="D5" s="24"/>
      <c r="E5" s="25">
        <v>51115039</v>
      </c>
      <c r="F5" s="26"/>
      <c r="H5" s="27" t="s">
        <v>53</v>
      </c>
      <c r="J5" s="28" t="s">
        <v>215</v>
      </c>
    </row>
    <row r="6" spans="1:17" s="17" customFormat="1" ht="23.25" customHeight="1" x14ac:dyDescent="0.2">
      <c r="A6" s="29" t="s">
        <v>44</v>
      </c>
      <c r="B6" s="29"/>
      <c r="C6" s="30"/>
      <c r="D6" s="26"/>
      <c r="E6" s="26"/>
      <c r="F6" s="26"/>
      <c r="H6" s="31"/>
      <c r="J6" s="17" t="str">
        <f>IF(PROVIDER&lt;&gt;"",PROVIDER,IF(UKPRN="ALL","Sector summary of all providers","Provider"))</f>
        <v>Providers registered in the 'Approved (fee cap)' category by 15 April 2019</v>
      </c>
    </row>
    <row r="7" spans="1:17" s="17" customFormat="1" ht="19.5" customHeight="1" x14ac:dyDescent="0.2">
      <c r="A7" s="28"/>
      <c r="B7" s="32" t="s">
        <v>230</v>
      </c>
      <c r="C7" s="30">
        <v>158500018</v>
      </c>
      <c r="D7" s="26"/>
      <c r="E7" s="26">
        <v>13008885</v>
      </c>
      <c r="F7" s="26"/>
      <c r="H7" s="27" t="s">
        <v>85</v>
      </c>
      <c r="J7" s="17" t="str">
        <f>IF(PROVIDER&lt;&gt;"","(UKPRN: "&amp;UKPRN&amp;")","")</f>
        <v>(UKPRN: ALL)</v>
      </c>
    </row>
    <row r="8" spans="1:17" s="17" customFormat="1" ht="15" customHeight="1" x14ac:dyDescent="0.2">
      <c r="A8" s="28"/>
      <c r="B8" s="32" t="s">
        <v>228</v>
      </c>
      <c r="C8" s="33">
        <v>70499997</v>
      </c>
      <c r="D8" s="24"/>
      <c r="E8" s="24">
        <v>940341</v>
      </c>
      <c r="F8" s="26"/>
      <c r="H8" s="27" t="s">
        <v>86</v>
      </c>
      <c r="J8" s="17" t="str">
        <f>J6&amp;" "&amp;J7</f>
        <v>Providers registered in the 'Approved (fee cap)' category by 15 April 2019 (UKPRN: ALL)</v>
      </c>
    </row>
    <row r="9" spans="1:17" s="17" customFormat="1" ht="15" customHeight="1" x14ac:dyDescent="0.2">
      <c r="A9" s="28"/>
      <c r="B9" s="32" t="s">
        <v>50</v>
      </c>
      <c r="C9" s="33">
        <v>39500005</v>
      </c>
      <c r="D9" s="24"/>
      <c r="E9" s="24">
        <v>2283028</v>
      </c>
      <c r="F9" s="26"/>
      <c r="H9" s="27" t="s">
        <v>87</v>
      </c>
    </row>
    <row r="10" spans="1:17" s="17" customFormat="1" ht="15" customHeight="1" x14ac:dyDescent="0.2">
      <c r="A10" s="28"/>
      <c r="B10" s="32" t="s">
        <v>38</v>
      </c>
      <c r="C10" s="33">
        <v>29821830</v>
      </c>
      <c r="D10" s="24"/>
      <c r="E10" s="475">
        <v>0</v>
      </c>
      <c r="F10" s="34"/>
      <c r="G10" s="34"/>
      <c r="H10" s="27" t="s">
        <v>63</v>
      </c>
    </row>
    <row r="11" spans="1:17" s="17" customFormat="1" ht="15" customHeight="1" x14ac:dyDescent="0.2">
      <c r="A11" s="28"/>
      <c r="B11" s="32" t="s">
        <v>189</v>
      </c>
      <c r="C11" s="33">
        <v>20440689</v>
      </c>
      <c r="D11" s="24"/>
      <c r="E11" s="24">
        <v>20440689</v>
      </c>
      <c r="F11" s="34"/>
      <c r="G11" s="34"/>
      <c r="H11" s="27" t="s">
        <v>89</v>
      </c>
    </row>
    <row r="12" spans="1:17" s="17" customFormat="1" ht="15" customHeight="1" x14ac:dyDescent="0.2">
      <c r="A12" s="28"/>
      <c r="B12" s="32" t="s">
        <v>48</v>
      </c>
      <c r="C12" s="33">
        <v>8316330</v>
      </c>
      <c r="D12" s="24"/>
      <c r="E12" s="475">
        <v>0</v>
      </c>
      <c r="F12" s="26"/>
      <c r="H12" s="27" t="s">
        <v>60</v>
      </c>
    </row>
    <row r="13" spans="1:17" s="17" customFormat="1" ht="15" customHeight="1" x14ac:dyDescent="0.2">
      <c r="A13" s="28"/>
      <c r="B13" s="32" t="s">
        <v>28</v>
      </c>
      <c r="C13" s="33">
        <v>34938564</v>
      </c>
      <c r="D13" s="24"/>
      <c r="E13" s="24">
        <v>24378</v>
      </c>
      <c r="F13" s="26"/>
      <c r="H13" s="27" t="s">
        <v>61</v>
      </c>
    </row>
    <row r="14" spans="1:17" s="17" customFormat="1" ht="15" customHeight="1" x14ac:dyDescent="0.2">
      <c r="A14" s="28"/>
      <c r="B14" s="32" t="s">
        <v>225</v>
      </c>
      <c r="C14" s="33">
        <v>3371274</v>
      </c>
      <c r="D14" s="24"/>
      <c r="E14" s="24">
        <v>0</v>
      </c>
      <c r="F14" s="26"/>
      <c r="H14" s="27" t="s">
        <v>62</v>
      </c>
    </row>
    <row r="15" spans="1:17" s="17" customFormat="1" ht="15" customHeight="1" x14ac:dyDescent="0.2">
      <c r="A15" s="28"/>
      <c r="B15" s="32" t="s">
        <v>37</v>
      </c>
      <c r="C15" s="33">
        <v>67993367</v>
      </c>
      <c r="D15" s="24"/>
      <c r="E15" s="24">
        <v>3370871</v>
      </c>
      <c r="F15" s="26"/>
      <c r="H15" s="27" t="s">
        <v>64</v>
      </c>
    </row>
    <row r="16" spans="1:17" s="17" customFormat="1" ht="15" customHeight="1" x14ac:dyDescent="0.2">
      <c r="A16" s="28"/>
      <c r="B16" s="32" t="s">
        <v>232</v>
      </c>
      <c r="C16" s="33">
        <v>24999997</v>
      </c>
      <c r="D16" s="24"/>
      <c r="E16" s="475">
        <v>0</v>
      </c>
      <c r="F16" s="26"/>
      <c r="H16" s="27" t="s">
        <v>267</v>
      </c>
    </row>
    <row r="17" spans="1:12" s="17" customFormat="1" ht="15" customHeight="1" x14ac:dyDescent="0.2">
      <c r="A17" s="28"/>
      <c r="B17" s="17" t="s">
        <v>45</v>
      </c>
      <c r="C17" s="33">
        <v>43372067</v>
      </c>
      <c r="D17" s="24"/>
      <c r="E17" s="475">
        <v>0</v>
      </c>
      <c r="F17" s="26"/>
      <c r="H17" s="27" t="s">
        <v>65</v>
      </c>
    </row>
    <row r="18" spans="1:12" s="17" customFormat="1" ht="15" customHeight="1" x14ac:dyDescent="0.2">
      <c r="A18" s="28"/>
      <c r="B18" s="17" t="s">
        <v>16</v>
      </c>
      <c r="C18" s="33">
        <v>16804954</v>
      </c>
      <c r="D18" s="24"/>
      <c r="E18" s="475">
        <v>0</v>
      </c>
      <c r="F18" s="26"/>
      <c r="H18" s="27" t="s">
        <v>66</v>
      </c>
    </row>
    <row r="19" spans="1:12" s="17" customFormat="1" ht="15" customHeight="1" x14ac:dyDescent="0.2">
      <c r="A19" s="28"/>
      <c r="B19" s="17" t="s">
        <v>22</v>
      </c>
      <c r="C19" s="33">
        <v>906719</v>
      </c>
      <c r="D19" s="24"/>
      <c r="E19" s="475">
        <v>0</v>
      </c>
      <c r="F19" s="26"/>
      <c r="H19" s="27" t="s">
        <v>67</v>
      </c>
    </row>
    <row r="20" spans="1:12" s="17" customFormat="1" ht="15" customHeight="1" x14ac:dyDescent="0.2">
      <c r="A20" s="28"/>
      <c r="B20" s="17" t="s">
        <v>17</v>
      </c>
      <c r="C20" s="33">
        <v>5140452</v>
      </c>
      <c r="D20" s="24"/>
      <c r="E20" s="475">
        <v>0</v>
      </c>
      <c r="F20" s="26"/>
      <c r="H20" s="27" t="s">
        <v>68</v>
      </c>
    </row>
    <row r="21" spans="1:12" s="17" customFormat="1" ht="30.75" customHeight="1" x14ac:dyDescent="0.2">
      <c r="A21" s="35"/>
      <c r="B21" s="36" t="s">
        <v>109</v>
      </c>
      <c r="C21" s="37">
        <v>524606263</v>
      </c>
      <c r="D21" s="24"/>
      <c r="E21" s="38">
        <v>40068192</v>
      </c>
      <c r="F21" s="26"/>
      <c r="H21" s="27" t="s">
        <v>54</v>
      </c>
    </row>
    <row r="22" spans="1:12" s="17" customFormat="1" ht="30.75" customHeight="1" thickBot="1" x14ac:dyDescent="0.25">
      <c r="A22" s="39" t="s">
        <v>251</v>
      </c>
      <c r="B22" s="40"/>
      <c r="C22" s="41">
        <v>1235189684</v>
      </c>
      <c r="D22" s="26"/>
      <c r="E22" s="42">
        <v>91183231</v>
      </c>
      <c r="F22" s="26"/>
      <c r="H22" s="27" t="s">
        <v>55</v>
      </c>
    </row>
    <row r="23" spans="1:12" s="17" customFormat="1" x14ac:dyDescent="0.2">
      <c r="C23" s="43"/>
      <c r="D23" s="44"/>
      <c r="E23" s="45"/>
      <c r="F23" s="44"/>
      <c r="H23" s="46"/>
    </row>
    <row r="24" spans="1:12" s="17" customFormat="1" x14ac:dyDescent="0.2">
      <c r="C24" s="43"/>
      <c r="D24" s="44"/>
      <c r="E24" s="45"/>
      <c r="F24" s="44"/>
      <c r="H24" s="46"/>
    </row>
    <row r="25" spans="1:12" s="17" customFormat="1" ht="22.5" customHeight="1" thickBot="1" x14ac:dyDescent="0.25">
      <c r="A25" s="395"/>
      <c r="B25" s="396"/>
      <c r="C25" s="397"/>
      <c r="E25" s="48"/>
      <c r="F25" s="26"/>
    </row>
    <row r="26" spans="1:12" s="17" customFormat="1" ht="19.5" customHeight="1" x14ac:dyDescent="0.2">
      <c r="A26" s="52" t="s">
        <v>236</v>
      </c>
      <c r="B26" s="50"/>
      <c r="C26" s="403">
        <f>IF(MEDINTAR=0,"Not applicable",MEDINTAR)</f>
        <v>7391</v>
      </c>
      <c r="D26" s="30"/>
      <c r="E26" s="51"/>
      <c r="F26" s="26"/>
      <c r="J26" s="27" t="s">
        <v>58</v>
      </c>
      <c r="K26" s="322">
        <v>7391</v>
      </c>
      <c r="L26" s="46"/>
    </row>
    <row r="27" spans="1:12" s="17" customFormat="1" ht="21.75" customHeight="1" x14ac:dyDescent="0.2">
      <c r="A27" s="53"/>
      <c r="B27" s="54" t="s">
        <v>187</v>
      </c>
      <c r="C27" s="492">
        <f>IF(MEDINTAR=0,"Not applicable",MEDINTAR_ISOV)</f>
        <v>456</v>
      </c>
      <c r="D27" s="30"/>
      <c r="E27" s="51"/>
      <c r="F27" s="26"/>
      <c r="J27" s="27" t="s">
        <v>155</v>
      </c>
      <c r="K27" s="322">
        <v>456</v>
      </c>
      <c r="L27" s="46"/>
    </row>
    <row r="28" spans="1:12" s="17" customFormat="1" ht="18.75" customHeight="1" x14ac:dyDescent="0.2">
      <c r="A28" s="55" t="s">
        <v>237</v>
      </c>
      <c r="B28" s="52"/>
      <c r="C28" s="56">
        <f>IF(DENINTAR=0,"Not applicable",DENINTAR)</f>
        <v>809</v>
      </c>
      <c r="D28" s="30"/>
      <c r="E28" s="51"/>
      <c r="F28" s="26"/>
      <c r="J28" s="27" t="s">
        <v>59</v>
      </c>
      <c r="K28" s="322">
        <v>809</v>
      </c>
      <c r="L28" s="46"/>
    </row>
    <row r="29" spans="1:12" s="17" customFormat="1" ht="21.75" customHeight="1" thickBot="1" x14ac:dyDescent="0.25">
      <c r="A29" s="57"/>
      <c r="B29" s="58" t="s">
        <v>187</v>
      </c>
      <c r="C29" s="59">
        <f>IF(DENINTAR=0,"Not applicable",DENINTAR_ISOV)</f>
        <v>43</v>
      </c>
      <c r="D29" s="30"/>
      <c r="E29" s="51"/>
      <c r="F29" s="26"/>
      <c r="J29" s="27" t="s">
        <v>156</v>
      </c>
      <c r="K29" s="322">
        <v>43</v>
      </c>
      <c r="L29" s="46"/>
    </row>
    <row r="30" spans="1:12" ht="15.75" customHeight="1" x14ac:dyDescent="0.2">
      <c r="C30" s="43"/>
      <c r="D30" s="43"/>
      <c r="E30" s="43"/>
      <c r="J30" s="17"/>
    </row>
    <row r="31" spans="1:12" hidden="1" x14ac:dyDescent="0.2">
      <c r="C31" s="60" t="s">
        <v>56</v>
      </c>
      <c r="D31" s="61"/>
      <c r="E31" s="60" t="s">
        <v>84</v>
      </c>
      <c r="F31" s="62"/>
      <c r="J31" s="17"/>
    </row>
    <row r="32" spans="1:12" x14ac:dyDescent="0.2">
      <c r="F32" s="26"/>
      <c r="J32" s="17"/>
    </row>
    <row r="33" spans="2:10" ht="15" customHeight="1" x14ac:dyDescent="0.2">
      <c r="B33" s="17"/>
      <c r="C33" s="26"/>
      <c r="D33" s="26"/>
      <c r="E33" s="26"/>
      <c r="F33" s="26"/>
      <c r="G33" s="17"/>
      <c r="J33" s="17"/>
    </row>
    <row r="34" spans="2:10" x14ac:dyDescent="0.2">
      <c r="B34" s="17"/>
      <c r="C34" s="26"/>
      <c r="D34" s="26"/>
      <c r="E34" s="26"/>
      <c r="F34" s="26"/>
      <c r="G34" s="17"/>
      <c r="J34" s="17"/>
    </row>
    <row r="35" spans="2:10" x14ac:dyDescent="0.2">
      <c r="J35" s="17"/>
    </row>
    <row r="36" spans="2:10" x14ac:dyDescent="0.2">
      <c r="J36" s="17"/>
    </row>
    <row r="37" spans="2:10" x14ac:dyDescent="0.2">
      <c r="J37" s="17"/>
    </row>
  </sheetData>
  <mergeCells count="2">
    <mergeCell ref="A5:B5"/>
    <mergeCell ref="A1:E1"/>
  </mergeCells>
  <conditionalFormatting sqref="C26:C29">
    <cfRule type="cellIs" dxfId="12" priority="3" operator="equal">
      <formula>"Not applicable"</formula>
    </cfRule>
  </conditionalFormatting>
  <conditionalFormatting sqref="C5 E5 E7:E9 E11 E13:E15 E21:E22 C7:C22">
    <cfRule type="cellIs" dxfId="11" priority="1" operator="equal">
      <formula>0</formula>
    </cfRule>
  </conditionalFormatting>
  <hyperlinks>
    <hyperlink ref="A5:B5" location="HIGHCOST" display="High-cost subject funding"/>
    <hyperlink ref="B7" location="SP_FT" display="Premium to support successful student outcomes: full-time"/>
    <hyperlink ref="B8" location="SP_PT" display="Premium to support successful student outcomes: part-time"/>
    <hyperlink ref="B9" location="DISABLED" display="Disabled students' premium"/>
    <hyperlink ref="B10" location="ERAS_TA" display="Erasmus+ and overseas study programmes"/>
    <hyperlink ref="B11" location="HEALTH_TA" display="Nursing and allied health supplement"/>
    <hyperlink ref="B12" location="PGTS_TA" display="Postgraduate taught supplement"/>
    <hyperlink ref="B13" location="INT_TA" display="Intensive postgraduate provision"/>
    <hyperlink ref="B14" location="ACCL_TA" display="Accelerated full-time undergraduate provision"/>
    <hyperlink ref="B15" location="LOND_TA" display="Students attending courses in London"/>
    <hyperlink ref="B16" location="VHCSS" display="Very high-cost STEM subjects"/>
  </hyperlinks>
  <pageMargins left="0.70866141732283472" right="0.70866141732283472" top="0.74803149606299213" bottom="0.74803149606299213" header="0.31496062992125984" footer="0.31496062992125984"/>
  <pageSetup paperSize="9" scale="86" orientation="landscape" r:id="rId1"/>
  <headerFooter>
    <oddHeader>&amp;CPage &amp;P&amp;R2019-20 Spring individual grant tables.xlsx</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W64"/>
  <sheetViews>
    <sheetView showGridLines="0" zoomScaleNormal="100" workbookViewId="0">
      <pane xSplit="3" ySplit="4" topLeftCell="D5" activePane="bottomRight" state="frozen"/>
      <selection activeCell="N9" sqref="N9"/>
      <selection pane="topRight" activeCell="N9" sqref="N9"/>
      <selection pane="bottomLeft" activeCell="N9" sqref="N9"/>
      <selection pane="bottomRight" sqref="A1:J1"/>
    </sheetView>
  </sheetViews>
  <sheetFormatPr defaultColWidth="9.140625" defaultRowHeight="13.5" x14ac:dyDescent="0.2"/>
  <cols>
    <col min="1" max="1" width="7.7109375" style="9" customWidth="1"/>
    <col min="2" max="2" width="10.140625" style="9" customWidth="1"/>
    <col min="3" max="3" width="19.7109375" style="9" customWidth="1"/>
    <col min="4" max="4" width="13.42578125" style="9" customWidth="1"/>
    <col min="5" max="5" width="15.28515625" style="9" customWidth="1"/>
    <col min="6" max="6" width="15.140625" style="9" customWidth="1"/>
    <col min="7" max="7" width="14.42578125" style="9" customWidth="1"/>
    <col min="8" max="8" width="15.85546875" style="9" customWidth="1"/>
    <col min="9" max="9" width="12.28515625" style="9" customWidth="1"/>
    <col min="10" max="10" width="11.42578125" style="9" customWidth="1"/>
    <col min="11" max="11" width="13.5703125" style="9" customWidth="1"/>
    <col min="12" max="12" width="9.28515625" style="9" customWidth="1"/>
    <col min="13" max="13" width="15.28515625" style="9" customWidth="1"/>
    <col min="14" max="14" width="14.28515625" style="9" customWidth="1"/>
    <col min="15" max="15" width="15.5703125" style="9" customWidth="1"/>
    <col min="16" max="16" width="15.42578125" style="9" customWidth="1"/>
    <col min="17" max="17" width="9.140625" style="9"/>
    <col min="18" max="18" width="11.140625" style="9" hidden="1" customWidth="1"/>
    <col min="19" max="19" width="8.28515625" style="9" hidden="1" customWidth="1"/>
    <col min="20" max="20" width="10.42578125" style="9" hidden="1" customWidth="1"/>
    <col min="21" max="21" width="9.140625" style="9" customWidth="1"/>
    <col min="22" max="23" width="9.140625" style="9" hidden="1" customWidth="1"/>
    <col min="24" max="16384" width="9.140625" style="9"/>
  </cols>
  <sheetData>
    <row r="1" spans="1:23" ht="15.75" customHeight="1" x14ac:dyDescent="0.25">
      <c r="A1" s="502" t="str">
        <f>'A Summary'!J8</f>
        <v>Providers registered in the 'Approved (fee cap)' category by 15 April 2019 (UKPRN: ALL)</v>
      </c>
      <c r="B1" s="502"/>
      <c r="C1" s="502"/>
      <c r="D1" s="502"/>
      <c r="E1" s="502"/>
      <c r="F1" s="502"/>
      <c r="G1" s="502"/>
      <c r="H1" s="502"/>
      <c r="I1" s="502"/>
      <c r="J1" s="502"/>
      <c r="K1" s="63"/>
      <c r="M1" s="17"/>
      <c r="N1" s="17"/>
      <c r="O1" s="17"/>
      <c r="P1" s="63"/>
    </row>
    <row r="2" spans="1:23" ht="15" customHeight="1" x14ac:dyDescent="0.2">
      <c r="B2" s="10"/>
      <c r="C2" s="10"/>
      <c r="E2" s="17"/>
      <c r="F2" s="17"/>
      <c r="G2" s="17"/>
      <c r="H2" s="17"/>
      <c r="K2" s="63"/>
    </row>
    <row r="3" spans="1:23" ht="22.5" customHeight="1" thickBot="1" x14ac:dyDescent="0.25">
      <c r="A3" s="64" t="s">
        <v>239</v>
      </c>
      <c r="E3" s="17"/>
      <c r="F3" s="17"/>
      <c r="G3" s="17"/>
      <c r="H3" s="17"/>
      <c r="M3" s="506" t="s">
        <v>285</v>
      </c>
      <c r="N3" s="506"/>
      <c r="O3" s="506"/>
      <c r="P3" s="506"/>
    </row>
    <row r="4" spans="1:23" s="66" customFormat="1" ht="70.5" customHeight="1" x14ac:dyDescent="0.2">
      <c r="A4" s="385" t="s">
        <v>13</v>
      </c>
      <c r="B4" s="385" t="s">
        <v>0</v>
      </c>
      <c r="C4" s="130" t="s">
        <v>5</v>
      </c>
      <c r="D4" s="386" t="s">
        <v>270</v>
      </c>
      <c r="E4" s="383" t="s">
        <v>289</v>
      </c>
      <c r="F4" s="383" t="s">
        <v>271</v>
      </c>
      <c r="G4" s="383" t="s">
        <v>272</v>
      </c>
      <c r="H4" s="383" t="s">
        <v>231</v>
      </c>
      <c r="I4" s="383" t="s">
        <v>39</v>
      </c>
      <c r="J4" s="383" t="s">
        <v>238</v>
      </c>
      <c r="K4" s="383" t="s">
        <v>218</v>
      </c>
      <c r="M4" s="383" t="s">
        <v>273</v>
      </c>
      <c r="N4" s="383" t="s">
        <v>274</v>
      </c>
      <c r="O4" s="383" t="s">
        <v>290</v>
      </c>
      <c r="P4" s="383" t="s">
        <v>218</v>
      </c>
      <c r="R4" s="22" t="s">
        <v>29</v>
      </c>
      <c r="S4" s="22" t="s">
        <v>30</v>
      </c>
      <c r="T4" s="22" t="s">
        <v>31</v>
      </c>
    </row>
    <row r="5" spans="1:23" x14ac:dyDescent="0.2">
      <c r="A5" s="67" t="s">
        <v>7</v>
      </c>
      <c r="B5" s="67" t="s">
        <v>219</v>
      </c>
      <c r="C5" s="47" t="s">
        <v>6</v>
      </c>
      <c r="D5" s="68">
        <v>23651.15</v>
      </c>
      <c r="E5" s="405">
        <v>0</v>
      </c>
      <c r="F5" s="405">
        <v>0</v>
      </c>
      <c r="G5" s="69">
        <v>118</v>
      </c>
      <c r="H5" s="70">
        <v>-50.15</v>
      </c>
      <c r="I5" s="70">
        <v>124</v>
      </c>
      <c r="J5" s="70">
        <v>23843</v>
      </c>
      <c r="K5" s="71">
        <v>244390753</v>
      </c>
      <c r="M5" s="405">
        <v>0</v>
      </c>
      <c r="N5" s="70">
        <v>221</v>
      </c>
      <c r="O5" s="70">
        <v>339</v>
      </c>
      <c r="P5" s="71">
        <v>3474750</v>
      </c>
      <c r="R5" s="72" t="s">
        <v>7</v>
      </c>
      <c r="S5" s="72" t="s">
        <v>2</v>
      </c>
      <c r="T5" s="72" t="s">
        <v>6</v>
      </c>
      <c r="U5" s="73"/>
      <c r="W5" s="10"/>
    </row>
    <row r="6" spans="1:23" x14ac:dyDescent="0.2">
      <c r="A6" s="49"/>
      <c r="B6" s="49"/>
      <c r="C6" s="47" t="str">
        <f>$W$18</f>
        <v>PGT (Masters' loan)</v>
      </c>
      <c r="D6" s="74">
        <v>1082.02</v>
      </c>
      <c r="E6" s="406">
        <v>0</v>
      </c>
      <c r="F6" s="406">
        <v>0</v>
      </c>
      <c r="G6" s="406">
        <v>0</v>
      </c>
      <c r="H6" s="406">
        <v>0</v>
      </c>
      <c r="I6" s="75">
        <v>0</v>
      </c>
      <c r="J6" s="75">
        <v>1082.02</v>
      </c>
      <c r="K6" s="76">
        <v>11090706</v>
      </c>
      <c r="M6" s="406">
        <v>0</v>
      </c>
      <c r="N6" s="406">
        <v>0</v>
      </c>
      <c r="O6" s="406">
        <v>0</v>
      </c>
      <c r="P6" s="419">
        <v>0</v>
      </c>
      <c r="R6" s="72" t="s">
        <v>7</v>
      </c>
      <c r="S6" s="72" t="s">
        <v>2</v>
      </c>
      <c r="T6" s="72" t="s">
        <v>46</v>
      </c>
      <c r="U6" s="73"/>
    </row>
    <row r="7" spans="1:23" x14ac:dyDescent="0.2">
      <c r="A7" s="49"/>
      <c r="B7" s="77"/>
      <c r="C7" s="78" t="str">
        <f>$W$19</f>
        <v>PGT (Other)</v>
      </c>
      <c r="D7" s="79">
        <v>309.51</v>
      </c>
      <c r="E7" s="407">
        <v>0</v>
      </c>
      <c r="F7" s="407">
        <v>0</v>
      </c>
      <c r="G7" s="407">
        <v>0</v>
      </c>
      <c r="H7" s="410">
        <v>0</v>
      </c>
      <c r="I7" s="80">
        <v>0</v>
      </c>
      <c r="J7" s="80">
        <v>309.51</v>
      </c>
      <c r="K7" s="81">
        <v>3172478</v>
      </c>
      <c r="M7" s="407">
        <v>0</v>
      </c>
      <c r="N7" s="407">
        <v>0</v>
      </c>
      <c r="O7" s="407">
        <v>0</v>
      </c>
      <c r="P7" s="420">
        <v>0</v>
      </c>
      <c r="R7" s="72" t="s">
        <v>7</v>
      </c>
      <c r="S7" s="72" t="s">
        <v>2</v>
      </c>
      <c r="T7" s="72" t="s">
        <v>47</v>
      </c>
      <c r="U7" s="73"/>
    </row>
    <row r="8" spans="1:23" x14ac:dyDescent="0.2">
      <c r="A8" s="49"/>
      <c r="B8" s="82" t="s">
        <v>223</v>
      </c>
      <c r="C8" s="83" t="s">
        <v>6</v>
      </c>
      <c r="D8" s="84">
        <v>39.89</v>
      </c>
      <c r="E8" s="408">
        <v>0</v>
      </c>
      <c r="F8" s="408">
        <v>0</v>
      </c>
      <c r="G8" s="85">
        <v>0.4</v>
      </c>
      <c r="H8" s="411">
        <v>0</v>
      </c>
      <c r="I8" s="86">
        <v>-2.85</v>
      </c>
      <c r="J8" s="86">
        <v>37.44</v>
      </c>
      <c r="K8" s="87">
        <v>383762</v>
      </c>
      <c r="M8" s="408">
        <v>0</v>
      </c>
      <c r="N8" s="86">
        <v>4.6500000000000004</v>
      </c>
      <c r="O8" s="86">
        <v>5.05</v>
      </c>
      <c r="P8" s="87">
        <v>51763</v>
      </c>
      <c r="R8" s="72" t="s">
        <v>7</v>
      </c>
      <c r="S8" s="72" t="s">
        <v>1</v>
      </c>
      <c r="T8" s="72" t="s">
        <v>6</v>
      </c>
      <c r="U8" s="73"/>
    </row>
    <row r="9" spans="1:23" x14ac:dyDescent="0.2">
      <c r="A9" s="49"/>
      <c r="B9" s="49"/>
      <c r="C9" s="47" t="str">
        <f>$W$18</f>
        <v>PGT (Masters' loan)</v>
      </c>
      <c r="D9" s="74">
        <v>429.04</v>
      </c>
      <c r="E9" s="406">
        <v>0</v>
      </c>
      <c r="F9" s="406">
        <v>0</v>
      </c>
      <c r="G9" s="406">
        <v>0</v>
      </c>
      <c r="H9" s="412">
        <v>0</v>
      </c>
      <c r="I9" s="75">
        <v>0</v>
      </c>
      <c r="J9" s="75">
        <v>429.04</v>
      </c>
      <c r="K9" s="76">
        <v>4397666</v>
      </c>
      <c r="M9" s="406">
        <v>0</v>
      </c>
      <c r="N9" s="406">
        <v>0</v>
      </c>
      <c r="O9" s="406">
        <v>0</v>
      </c>
      <c r="P9" s="419">
        <v>0</v>
      </c>
      <c r="R9" s="72" t="s">
        <v>7</v>
      </c>
      <c r="S9" s="72" t="s">
        <v>1</v>
      </c>
      <c r="T9" s="72" t="s">
        <v>46</v>
      </c>
      <c r="U9" s="73"/>
    </row>
    <row r="10" spans="1:23" x14ac:dyDescent="0.2">
      <c r="A10" s="88"/>
      <c r="B10" s="88"/>
      <c r="C10" s="89" t="str">
        <f>$W$19</f>
        <v>PGT (Other)</v>
      </c>
      <c r="D10" s="90">
        <v>214.36</v>
      </c>
      <c r="E10" s="409">
        <v>0</v>
      </c>
      <c r="F10" s="409">
        <v>0</v>
      </c>
      <c r="G10" s="409">
        <v>0</v>
      </c>
      <c r="H10" s="413">
        <v>0</v>
      </c>
      <c r="I10" s="91">
        <v>0</v>
      </c>
      <c r="J10" s="91">
        <v>214.36</v>
      </c>
      <c r="K10" s="92">
        <v>2197192</v>
      </c>
      <c r="M10" s="409">
        <v>0</v>
      </c>
      <c r="N10" s="409">
        <v>0</v>
      </c>
      <c r="O10" s="409">
        <v>0</v>
      </c>
      <c r="P10" s="421">
        <v>0</v>
      </c>
      <c r="R10" s="72" t="s">
        <v>7</v>
      </c>
      <c r="S10" s="72" t="s">
        <v>1</v>
      </c>
      <c r="T10" s="72" t="s">
        <v>47</v>
      </c>
      <c r="U10" s="73"/>
    </row>
    <row r="11" spans="1:23" x14ac:dyDescent="0.2">
      <c r="A11" s="67" t="s">
        <v>8</v>
      </c>
      <c r="B11" s="67" t="s">
        <v>219</v>
      </c>
      <c r="C11" s="47" t="s">
        <v>6</v>
      </c>
      <c r="D11" s="93">
        <v>207329.79</v>
      </c>
      <c r="E11" s="94">
        <v>5991</v>
      </c>
      <c r="F11" s="414">
        <v>0</v>
      </c>
      <c r="G11" s="414">
        <v>0</v>
      </c>
      <c r="H11" s="94">
        <v>-15.06</v>
      </c>
      <c r="I11" s="94">
        <v>1320</v>
      </c>
      <c r="J11" s="94">
        <v>214625.73</v>
      </c>
      <c r="K11" s="95">
        <v>329987094</v>
      </c>
      <c r="M11" s="94">
        <v>6757</v>
      </c>
      <c r="N11" s="94">
        <v>7912</v>
      </c>
      <c r="O11" s="94">
        <v>20660</v>
      </c>
      <c r="P11" s="95">
        <v>31764764</v>
      </c>
      <c r="R11" s="72" t="s">
        <v>8</v>
      </c>
      <c r="S11" s="72" t="s">
        <v>2</v>
      </c>
      <c r="T11" s="72" t="s">
        <v>6</v>
      </c>
      <c r="U11" s="73"/>
    </row>
    <row r="12" spans="1:23" x14ac:dyDescent="0.2">
      <c r="A12" s="49"/>
      <c r="B12" s="49"/>
      <c r="C12" s="47" t="str">
        <f>$W$17</f>
        <v>PGT (UG fee)</v>
      </c>
      <c r="D12" s="74">
        <v>1278</v>
      </c>
      <c r="E12" s="406">
        <v>0</v>
      </c>
      <c r="F12" s="75">
        <v>917</v>
      </c>
      <c r="G12" s="406">
        <v>0</v>
      </c>
      <c r="H12" s="412">
        <v>0</v>
      </c>
      <c r="I12" s="75">
        <v>0</v>
      </c>
      <c r="J12" s="75">
        <v>2195</v>
      </c>
      <c r="K12" s="76">
        <v>3374822</v>
      </c>
      <c r="M12" s="406">
        <v>0</v>
      </c>
      <c r="N12" s="75">
        <v>1134</v>
      </c>
      <c r="O12" s="75">
        <v>2051</v>
      </c>
      <c r="P12" s="76">
        <v>3153421</v>
      </c>
      <c r="R12" s="72" t="s">
        <v>8</v>
      </c>
      <c r="S12" s="72" t="s">
        <v>2</v>
      </c>
      <c r="T12" s="72" t="s">
        <v>33</v>
      </c>
    </row>
    <row r="13" spans="1:23" x14ac:dyDescent="0.2">
      <c r="A13" s="49"/>
      <c r="B13" s="49"/>
      <c r="C13" s="47" t="str">
        <f>$W$18</f>
        <v>PGT (Masters' loan)</v>
      </c>
      <c r="D13" s="74">
        <v>9674.43</v>
      </c>
      <c r="E13" s="406">
        <v>0</v>
      </c>
      <c r="F13" s="406">
        <v>0</v>
      </c>
      <c r="G13" s="406">
        <v>0</v>
      </c>
      <c r="H13" s="412">
        <v>0</v>
      </c>
      <c r="I13" s="75">
        <v>0</v>
      </c>
      <c r="J13" s="75">
        <v>9674.43</v>
      </c>
      <c r="K13" s="76">
        <v>14874453</v>
      </c>
      <c r="M13" s="406">
        <v>0</v>
      </c>
      <c r="N13" s="406">
        <v>0</v>
      </c>
      <c r="O13" s="406">
        <v>0</v>
      </c>
      <c r="P13" s="419">
        <v>0</v>
      </c>
      <c r="R13" s="72" t="s">
        <v>8</v>
      </c>
      <c r="S13" s="72" t="s">
        <v>2</v>
      </c>
      <c r="T13" s="72" t="s">
        <v>46</v>
      </c>
    </row>
    <row r="14" spans="1:23" x14ac:dyDescent="0.2">
      <c r="A14" s="49"/>
      <c r="B14" s="77"/>
      <c r="C14" s="78" t="str">
        <f>$W$19</f>
        <v>PGT (Other)</v>
      </c>
      <c r="D14" s="79">
        <v>530.36</v>
      </c>
      <c r="E14" s="407">
        <v>0</v>
      </c>
      <c r="F14" s="407">
        <v>0</v>
      </c>
      <c r="G14" s="407">
        <v>0</v>
      </c>
      <c r="H14" s="410">
        <v>0</v>
      </c>
      <c r="I14" s="80">
        <v>2</v>
      </c>
      <c r="J14" s="80">
        <v>532.36</v>
      </c>
      <c r="K14" s="81">
        <v>818514</v>
      </c>
      <c r="M14" s="407">
        <v>0</v>
      </c>
      <c r="N14" s="407">
        <v>0</v>
      </c>
      <c r="O14" s="407">
        <v>0</v>
      </c>
      <c r="P14" s="420">
        <v>0</v>
      </c>
      <c r="R14" s="72" t="s">
        <v>8</v>
      </c>
      <c r="S14" s="72" t="s">
        <v>2</v>
      </c>
      <c r="T14" s="72" t="s">
        <v>47</v>
      </c>
    </row>
    <row r="15" spans="1:23" x14ac:dyDescent="0.2">
      <c r="A15" s="49"/>
      <c r="B15" s="82" t="s">
        <v>223</v>
      </c>
      <c r="C15" s="83" t="s">
        <v>6</v>
      </c>
      <c r="D15" s="84">
        <v>16003.09</v>
      </c>
      <c r="E15" s="86">
        <v>118.25</v>
      </c>
      <c r="F15" s="408">
        <v>0</v>
      </c>
      <c r="G15" s="408">
        <v>0</v>
      </c>
      <c r="H15" s="411">
        <v>0</v>
      </c>
      <c r="I15" s="86">
        <v>0</v>
      </c>
      <c r="J15" s="86">
        <v>16121.34</v>
      </c>
      <c r="K15" s="87">
        <v>24786579</v>
      </c>
      <c r="M15" s="86">
        <v>85.51</v>
      </c>
      <c r="N15" s="86">
        <v>144.41999999999999</v>
      </c>
      <c r="O15" s="86">
        <v>348.18</v>
      </c>
      <c r="P15" s="87">
        <v>535327</v>
      </c>
      <c r="R15" s="72" t="s">
        <v>8</v>
      </c>
      <c r="S15" s="72" t="s">
        <v>1</v>
      </c>
      <c r="T15" s="72" t="s">
        <v>6</v>
      </c>
    </row>
    <row r="16" spans="1:23" x14ac:dyDescent="0.2">
      <c r="A16" s="49"/>
      <c r="B16" s="49"/>
      <c r="C16" s="47" t="str">
        <f>$W$17</f>
        <v>PGT (UG fee)</v>
      </c>
      <c r="D16" s="74">
        <v>4.45</v>
      </c>
      <c r="E16" s="406">
        <v>0</v>
      </c>
      <c r="F16" s="75">
        <v>7.09</v>
      </c>
      <c r="G16" s="406">
        <v>0</v>
      </c>
      <c r="H16" s="412">
        <v>0</v>
      </c>
      <c r="I16" s="75">
        <v>0</v>
      </c>
      <c r="J16" s="75">
        <v>11.54</v>
      </c>
      <c r="K16" s="76">
        <v>17741</v>
      </c>
      <c r="M16" s="406">
        <v>0</v>
      </c>
      <c r="N16" s="75">
        <v>2.33</v>
      </c>
      <c r="O16" s="75">
        <v>9.42</v>
      </c>
      <c r="P16" s="76">
        <v>14482</v>
      </c>
      <c r="R16" s="72" t="s">
        <v>8</v>
      </c>
      <c r="S16" s="72" t="s">
        <v>1</v>
      </c>
      <c r="T16" s="72" t="s">
        <v>33</v>
      </c>
      <c r="W16" s="10" t="s">
        <v>70</v>
      </c>
    </row>
    <row r="17" spans="1:23" x14ac:dyDescent="0.2">
      <c r="A17" s="49"/>
      <c r="B17" s="49"/>
      <c r="C17" s="47" t="str">
        <f>$W$18</f>
        <v>PGT (Masters' loan)</v>
      </c>
      <c r="D17" s="74">
        <v>2460.83</v>
      </c>
      <c r="E17" s="406">
        <v>0</v>
      </c>
      <c r="F17" s="406">
        <v>0</v>
      </c>
      <c r="G17" s="406">
        <v>0</v>
      </c>
      <c r="H17" s="412">
        <v>0</v>
      </c>
      <c r="I17" s="75">
        <v>0</v>
      </c>
      <c r="J17" s="75">
        <v>2460.83</v>
      </c>
      <c r="K17" s="76">
        <v>3783532</v>
      </c>
      <c r="M17" s="406">
        <v>0</v>
      </c>
      <c r="N17" s="406">
        <v>0</v>
      </c>
      <c r="O17" s="406">
        <v>0</v>
      </c>
      <c r="P17" s="419">
        <v>0</v>
      </c>
      <c r="R17" s="72" t="s">
        <v>8</v>
      </c>
      <c r="S17" s="72" t="s">
        <v>1</v>
      </c>
      <c r="T17" s="72" t="s">
        <v>46</v>
      </c>
      <c r="W17" s="9" t="s">
        <v>250</v>
      </c>
    </row>
    <row r="18" spans="1:23" x14ac:dyDescent="0.2">
      <c r="A18" s="88"/>
      <c r="B18" s="88"/>
      <c r="C18" s="89" t="str">
        <f>$W$19</f>
        <v>PGT (Other)</v>
      </c>
      <c r="D18" s="90">
        <v>1809.35</v>
      </c>
      <c r="E18" s="409">
        <v>0</v>
      </c>
      <c r="F18" s="409">
        <v>0</v>
      </c>
      <c r="G18" s="409">
        <v>0</v>
      </c>
      <c r="H18" s="413">
        <v>0</v>
      </c>
      <c r="I18" s="91">
        <v>-0.41</v>
      </c>
      <c r="J18" s="91">
        <v>1808.94</v>
      </c>
      <c r="K18" s="92">
        <v>2781248</v>
      </c>
      <c r="M18" s="409">
        <v>0</v>
      </c>
      <c r="N18" s="409">
        <v>0</v>
      </c>
      <c r="O18" s="409">
        <v>0</v>
      </c>
      <c r="P18" s="421">
        <v>0</v>
      </c>
      <c r="R18" s="72" t="s">
        <v>8</v>
      </c>
      <c r="S18" s="72" t="s">
        <v>1</v>
      </c>
      <c r="T18" s="72" t="s">
        <v>47</v>
      </c>
      <c r="W18" s="9" t="s">
        <v>279</v>
      </c>
    </row>
    <row r="19" spans="1:23" x14ac:dyDescent="0.2">
      <c r="A19" s="67" t="s">
        <v>26</v>
      </c>
      <c r="B19" s="67" t="s">
        <v>219</v>
      </c>
      <c r="C19" s="47" t="s">
        <v>6</v>
      </c>
      <c r="D19" s="93">
        <v>214082.02</v>
      </c>
      <c r="E19" s="94">
        <v>14596</v>
      </c>
      <c r="F19" s="414">
        <v>0</v>
      </c>
      <c r="G19" s="414">
        <v>0</v>
      </c>
      <c r="H19" s="417">
        <v>0</v>
      </c>
      <c r="I19" s="94">
        <v>0</v>
      </c>
      <c r="J19" s="94">
        <v>228678.02</v>
      </c>
      <c r="K19" s="95">
        <v>58598763</v>
      </c>
      <c r="L19" s="17"/>
      <c r="M19" s="94">
        <v>13473</v>
      </c>
      <c r="N19" s="94">
        <v>16316</v>
      </c>
      <c r="O19" s="94">
        <v>44385</v>
      </c>
      <c r="P19" s="95">
        <v>11373666</v>
      </c>
      <c r="Q19" s="17"/>
      <c r="R19" s="72" t="s">
        <v>26</v>
      </c>
      <c r="S19" s="72" t="s">
        <v>2</v>
      </c>
      <c r="T19" s="72" t="s">
        <v>6</v>
      </c>
      <c r="W19" s="9" t="s">
        <v>280</v>
      </c>
    </row>
    <row r="20" spans="1:23" x14ac:dyDescent="0.2">
      <c r="A20" s="49"/>
      <c r="B20" s="49"/>
      <c r="C20" s="47" t="str">
        <f>$W$17</f>
        <v>PGT (UG fee)</v>
      </c>
      <c r="D20" s="74">
        <v>1104</v>
      </c>
      <c r="E20" s="406">
        <v>0</v>
      </c>
      <c r="F20" s="75">
        <v>1239</v>
      </c>
      <c r="G20" s="406">
        <v>0</v>
      </c>
      <c r="H20" s="412">
        <v>0</v>
      </c>
      <c r="I20" s="75">
        <v>0</v>
      </c>
      <c r="J20" s="75">
        <v>2343</v>
      </c>
      <c r="K20" s="76">
        <v>600397</v>
      </c>
      <c r="L20" s="17"/>
      <c r="M20" s="406">
        <v>0</v>
      </c>
      <c r="N20" s="75">
        <v>1092</v>
      </c>
      <c r="O20" s="75">
        <v>2331</v>
      </c>
      <c r="P20" s="76">
        <v>597322</v>
      </c>
      <c r="Q20" s="17"/>
      <c r="R20" s="72" t="s">
        <v>26</v>
      </c>
      <c r="S20" s="72" t="s">
        <v>2</v>
      </c>
      <c r="T20" s="72" t="s">
        <v>33</v>
      </c>
    </row>
    <row r="21" spans="1:23" x14ac:dyDescent="0.2">
      <c r="A21" s="49"/>
      <c r="B21" s="49"/>
      <c r="C21" s="47" t="str">
        <f>$W$18</f>
        <v>PGT (Masters' loan)</v>
      </c>
      <c r="D21" s="74">
        <v>10864.99</v>
      </c>
      <c r="E21" s="406">
        <v>0</v>
      </c>
      <c r="F21" s="406">
        <v>0</v>
      </c>
      <c r="G21" s="406">
        <v>0</v>
      </c>
      <c r="H21" s="412">
        <v>0</v>
      </c>
      <c r="I21" s="75">
        <v>0</v>
      </c>
      <c r="J21" s="75">
        <v>10864.99</v>
      </c>
      <c r="K21" s="76">
        <v>2784165</v>
      </c>
      <c r="L21" s="17"/>
      <c r="M21" s="406">
        <v>0</v>
      </c>
      <c r="N21" s="406">
        <v>0</v>
      </c>
      <c r="O21" s="406">
        <v>0</v>
      </c>
      <c r="P21" s="419">
        <v>0</v>
      </c>
      <c r="Q21" s="17"/>
      <c r="R21" s="72" t="s">
        <v>26</v>
      </c>
      <c r="S21" s="72" t="s">
        <v>2</v>
      </c>
      <c r="T21" s="72" t="s">
        <v>46</v>
      </c>
    </row>
    <row r="22" spans="1:23" x14ac:dyDescent="0.2">
      <c r="A22" s="49"/>
      <c r="B22" s="77"/>
      <c r="C22" s="78" t="str">
        <f>$W$19</f>
        <v>PGT (Other)</v>
      </c>
      <c r="D22" s="79">
        <v>270.79000000000002</v>
      </c>
      <c r="E22" s="407">
        <v>0</v>
      </c>
      <c r="F22" s="407">
        <v>0</v>
      </c>
      <c r="G22" s="407">
        <v>0</v>
      </c>
      <c r="H22" s="410">
        <v>0</v>
      </c>
      <c r="I22" s="80">
        <v>0</v>
      </c>
      <c r="J22" s="80">
        <v>270.79000000000002</v>
      </c>
      <c r="K22" s="81">
        <v>69390</v>
      </c>
      <c r="L22" s="17"/>
      <c r="M22" s="407">
        <v>0</v>
      </c>
      <c r="N22" s="407">
        <v>0</v>
      </c>
      <c r="O22" s="407">
        <v>0</v>
      </c>
      <c r="P22" s="420">
        <v>0</v>
      </c>
      <c r="Q22" s="17"/>
      <c r="R22" s="72" t="s">
        <v>26</v>
      </c>
      <c r="S22" s="72" t="s">
        <v>2</v>
      </c>
      <c r="T22" s="72" t="s">
        <v>47</v>
      </c>
    </row>
    <row r="23" spans="1:23" x14ac:dyDescent="0.2">
      <c r="A23" s="49"/>
      <c r="B23" s="82" t="s">
        <v>223</v>
      </c>
      <c r="C23" s="83" t="s">
        <v>6</v>
      </c>
      <c r="D23" s="84">
        <v>6319.83</v>
      </c>
      <c r="E23" s="86">
        <v>220.5</v>
      </c>
      <c r="F23" s="408">
        <v>0</v>
      </c>
      <c r="G23" s="408">
        <v>0</v>
      </c>
      <c r="H23" s="411">
        <v>0</v>
      </c>
      <c r="I23" s="86">
        <v>0</v>
      </c>
      <c r="J23" s="86">
        <v>6540.33</v>
      </c>
      <c r="K23" s="87">
        <v>1675968</v>
      </c>
      <c r="L23" s="17"/>
      <c r="M23" s="86">
        <v>167.64</v>
      </c>
      <c r="N23" s="86">
        <v>186.26</v>
      </c>
      <c r="O23" s="86">
        <v>574.4</v>
      </c>
      <c r="P23" s="87">
        <v>147191</v>
      </c>
      <c r="Q23" s="17"/>
      <c r="R23" s="72" t="s">
        <v>26</v>
      </c>
      <c r="S23" s="72" t="s">
        <v>1</v>
      </c>
      <c r="T23" s="72" t="s">
        <v>6</v>
      </c>
    </row>
    <row r="24" spans="1:23" x14ac:dyDescent="0.2">
      <c r="A24" s="49"/>
      <c r="B24" s="49"/>
      <c r="C24" s="47" t="str">
        <f>$W$17</f>
        <v>PGT (UG fee)</v>
      </c>
      <c r="D24" s="74">
        <v>1.17</v>
      </c>
      <c r="E24" s="406">
        <v>0</v>
      </c>
      <c r="F24" s="75">
        <v>8.5299999999999994</v>
      </c>
      <c r="G24" s="406">
        <v>0</v>
      </c>
      <c r="H24" s="412">
        <v>0</v>
      </c>
      <c r="I24" s="75">
        <v>0</v>
      </c>
      <c r="J24" s="75">
        <v>9.6999999999999993</v>
      </c>
      <c r="K24" s="76">
        <v>2487</v>
      </c>
      <c r="L24" s="17"/>
      <c r="M24" s="406">
        <v>0</v>
      </c>
      <c r="N24" s="75">
        <v>0.65</v>
      </c>
      <c r="O24" s="75">
        <v>9.18</v>
      </c>
      <c r="P24" s="76">
        <v>2353</v>
      </c>
      <c r="Q24" s="17"/>
      <c r="R24" s="72" t="s">
        <v>26</v>
      </c>
      <c r="S24" s="72" t="s">
        <v>1</v>
      </c>
      <c r="T24" s="72" t="s">
        <v>33</v>
      </c>
    </row>
    <row r="25" spans="1:23" x14ac:dyDescent="0.2">
      <c r="A25" s="49"/>
      <c r="B25" s="49"/>
      <c r="C25" s="47" t="str">
        <f>$W$18</f>
        <v>PGT (Masters' loan)</v>
      </c>
      <c r="D25" s="74">
        <v>2812.41</v>
      </c>
      <c r="E25" s="406">
        <v>0</v>
      </c>
      <c r="F25" s="406">
        <v>0</v>
      </c>
      <c r="G25" s="406">
        <v>0</v>
      </c>
      <c r="H25" s="412">
        <v>0</v>
      </c>
      <c r="I25" s="75">
        <v>0</v>
      </c>
      <c r="J25" s="75">
        <v>2812.41</v>
      </c>
      <c r="K25" s="76">
        <v>720686</v>
      </c>
      <c r="L25" s="17"/>
      <c r="M25" s="406">
        <v>0</v>
      </c>
      <c r="N25" s="406">
        <v>0</v>
      </c>
      <c r="O25" s="406">
        <v>0</v>
      </c>
      <c r="P25" s="419">
        <v>0</v>
      </c>
      <c r="Q25" s="17"/>
      <c r="R25" s="72" t="s">
        <v>26</v>
      </c>
      <c r="S25" s="72" t="s">
        <v>1</v>
      </c>
      <c r="T25" s="72" t="s">
        <v>46</v>
      </c>
    </row>
    <row r="26" spans="1:23" x14ac:dyDescent="0.2">
      <c r="A26" s="88"/>
      <c r="B26" s="88"/>
      <c r="C26" s="89" t="str">
        <f>$W$19</f>
        <v>PGT (Other)</v>
      </c>
      <c r="D26" s="90">
        <v>292.77</v>
      </c>
      <c r="E26" s="409">
        <v>0</v>
      </c>
      <c r="F26" s="409">
        <v>0</v>
      </c>
      <c r="G26" s="409">
        <v>0</v>
      </c>
      <c r="H26" s="413">
        <v>0</v>
      </c>
      <c r="I26" s="91">
        <v>0</v>
      </c>
      <c r="J26" s="91">
        <v>292.77</v>
      </c>
      <c r="K26" s="92">
        <v>75025</v>
      </c>
      <c r="L26" s="17"/>
      <c r="M26" s="409">
        <v>0</v>
      </c>
      <c r="N26" s="409">
        <v>0</v>
      </c>
      <c r="O26" s="409">
        <v>0</v>
      </c>
      <c r="P26" s="421">
        <v>0</v>
      </c>
      <c r="Q26" s="17"/>
      <c r="R26" s="72" t="s">
        <v>26</v>
      </c>
      <c r="S26" s="72" t="s">
        <v>1</v>
      </c>
      <c r="T26" s="72" t="s">
        <v>47</v>
      </c>
    </row>
    <row r="27" spans="1:23" x14ac:dyDescent="0.2">
      <c r="A27" s="67" t="s">
        <v>27</v>
      </c>
      <c r="B27" s="67" t="s">
        <v>219</v>
      </c>
      <c r="C27" s="47" t="s">
        <v>6</v>
      </c>
      <c r="D27" s="93">
        <v>191249.11</v>
      </c>
      <c r="E27" s="414">
        <v>0</v>
      </c>
      <c r="F27" s="414">
        <v>0</v>
      </c>
      <c r="G27" s="414">
        <v>0</v>
      </c>
      <c r="H27" s="417">
        <v>0</v>
      </c>
      <c r="I27" s="417">
        <v>0</v>
      </c>
      <c r="J27" s="417">
        <v>0</v>
      </c>
      <c r="K27" s="417">
        <v>0</v>
      </c>
      <c r="L27" s="17"/>
      <c r="M27" s="414">
        <v>0</v>
      </c>
      <c r="N27" s="414">
        <v>0</v>
      </c>
      <c r="O27" s="414">
        <v>0</v>
      </c>
      <c r="P27" s="417">
        <v>0</v>
      </c>
      <c r="Q27" s="17"/>
      <c r="R27" s="72" t="s">
        <v>27</v>
      </c>
      <c r="S27" s="72" t="s">
        <v>2</v>
      </c>
      <c r="T27" s="72" t="s">
        <v>6</v>
      </c>
    </row>
    <row r="28" spans="1:23" x14ac:dyDescent="0.2">
      <c r="A28" s="49"/>
      <c r="B28" s="49"/>
      <c r="C28" s="47" t="str">
        <f>$W$17</f>
        <v>PGT (UG fee)</v>
      </c>
      <c r="D28" s="74">
        <v>2809.24</v>
      </c>
      <c r="E28" s="406">
        <v>0</v>
      </c>
      <c r="F28" s="406">
        <v>0</v>
      </c>
      <c r="G28" s="406">
        <v>0</v>
      </c>
      <c r="H28" s="412">
        <v>0</v>
      </c>
      <c r="I28" s="412">
        <v>0</v>
      </c>
      <c r="J28" s="412">
        <v>0</v>
      </c>
      <c r="K28" s="412">
        <v>0</v>
      </c>
      <c r="L28" s="17"/>
      <c r="M28" s="406">
        <v>0</v>
      </c>
      <c r="N28" s="406">
        <v>0</v>
      </c>
      <c r="O28" s="406">
        <v>0</v>
      </c>
      <c r="P28" s="412">
        <v>0</v>
      </c>
      <c r="Q28" s="17"/>
      <c r="R28" s="72" t="s">
        <v>27</v>
      </c>
      <c r="S28" s="72" t="s">
        <v>2</v>
      </c>
      <c r="T28" s="72" t="s">
        <v>33</v>
      </c>
    </row>
    <row r="29" spans="1:23" x14ac:dyDescent="0.2">
      <c r="A29" s="49"/>
      <c r="B29" s="49"/>
      <c r="C29" s="47" t="str">
        <f>$W$18</f>
        <v>PGT (Masters' loan)</v>
      </c>
      <c r="D29" s="74">
        <v>12376.43</v>
      </c>
      <c r="E29" s="406">
        <v>0</v>
      </c>
      <c r="F29" s="406">
        <v>0</v>
      </c>
      <c r="G29" s="406">
        <v>0</v>
      </c>
      <c r="H29" s="412">
        <v>0</v>
      </c>
      <c r="I29" s="412">
        <v>0</v>
      </c>
      <c r="J29" s="412">
        <v>0</v>
      </c>
      <c r="K29" s="412">
        <v>0</v>
      </c>
      <c r="L29" s="17"/>
      <c r="M29" s="406">
        <v>0</v>
      </c>
      <c r="N29" s="406">
        <v>0</v>
      </c>
      <c r="O29" s="406">
        <v>0</v>
      </c>
      <c r="P29" s="412">
        <v>0</v>
      </c>
      <c r="Q29" s="17"/>
      <c r="R29" s="72" t="s">
        <v>27</v>
      </c>
      <c r="S29" s="72" t="s">
        <v>2</v>
      </c>
      <c r="T29" s="72" t="s">
        <v>46</v>
      </c>
    </row>
    <row r="30" spans="1:23" x14ac:dyDescent="0.2">
      <c r="A30" s="49"/>
      <c r="B30" s="77"/>
      <c r="C30" s="78" t="str">
        <f>$W$19</f>
        <v>PGT (Other)</v>
      </c>
      <c r="D30" s="79">
        <v>1242.8699999999999</v>
      </c>
      <c r="E30" s="407">
        <v>0</v>
      </c>
      <c r="F30" s="407">
        <v>0</v>
      </c>
      <c r="G30" s="407">
        <v>0</v>
      </c>
      <c r="H30" s="410">
        <v>0</v>
      </c>
      <c r="I30" s="410">
        <v>0</v>
      </c>
      <c r="J30" s="410">
        <v>0</v>
      </c>
      <c r="K30" s="410">
        <v>0</v>
      </c>
      <c r="L30" s="17"/>
      <c r="M30" s="407">
        <v>0</v>
      </c>
      <c r="N30" s="407">
        <v>0</v>
      </c>
      <c r="O30" s="407">
        <v>0</v>
      </c>
      <c r="P30" s="410">
        <v>0</v>
      </c>
      <c r="Q30" s="17"/>
      <c r="R30" s="72" t="s">
        <v>27</v>
      </c>
      <c r="S30" s="72" t="s">
        <v>2</v>
      </c>
      <c r="T30" s="72" t="s">
        <v>47</v>
      </c>
    </row>
    <row r="31" spans="1:23" ht="13.5" customHeight="1" x14ac:dyDescent="0.2">
      <c r="A31" s="49"/>
      <c r="B31" s="504" t="s">
        <v>114</v>
      </c>
      <c r="C31" s="83" t="s">
        <v>6</v>
      </c>
      <c r="D31" s="84">
        <v>12622.5</v>
      </c>
      <c r="E31" s="408">
        <v>0</v>
      </c>
      <c r="F31" s="408">
        <v>0</v>
      </c>
      <c r="G31" s="408">
        <v>0</v>
      </c>
      <c r="H31" s="411">
        <v>0</v>
      </c>
      <c r="I31" s="411">
        <v>0</v>
      </c>
      <c r="J31" s="411">
        <v>0</v>
      </c>
      <c r="K31" s="411">
        <v>0</v>
      </c>
      <c r="L31" s="17"/>
      <c r="M31" s="408">
        <v>0</v>
      </c>
      <c r="N31" s="408">
        <v>0</v>
      </c>
      <c r="O31" s="408">
        <v>0</v>
      </c>
      <c r="P31" s="422">
        <v>0</v>
      </c>
      <c r="Q31" s="17"/>
      <c r="R31" s="72" t="s">
        <v>27</v>
      </c>
      <c r="S31" s="72" t="s">
        <v>14</v>
      </c>
      <c r="T31" s="72" t="s">
        <v>6</v>
      </c>
    </row>
    <row r="32" spans="1:23" x14ac:dyDescent="0.2">
      <c r="A32" s="49"/>
      <c r="B32" s="505"/>
      <c r="C32" s="47" t="str">
        <f>$W$17</f>
        <v>PGT (UG fee)</v>
      </c>
      <c r="D32" s="74">
        <v>14</v>
      </c>
      <c r="E32" s="406">
        <v>0</v>
      </c>
      <c r="F32" s="406">
        <v>0</v>
      </c>
      <c r="G32" s="406">
        <v>0</v>
      </c>
      <c r="H32" s="412">
        <v>0</v>
      </c>
      <c r="I32" s="412">
        <v>0</v>
      </c>
      <c r="J32" s="412">
        <v>0</v>
      </c>
      <c r="K32" s="412">
        <v>0</v>
      </c>
      <c r="L32" s="17"/>
      <c r="M32" s="406">
        <v>0</v>
      </c>
      <c r="N32" s="406">
        <v>0</v>
      </c>
      <c r="O32" s="406">
        <v>0</v>
      </c>
      <c r="P32" s="412">
        <v>0</v>
      </c>
      <c r="Q32" s="17"/>
      <c r="R32" s="72" t="s">
        <v>27</v>
      </c>
      <c r="S32" s="72" t="s">
        <v>14</v>
      </c>
      <c r="T32" s="72" t="s">
        <v>33</v>
      </c>
    </row>
    <row r="33" spans="1:20" x14ac:dyDescent="0.2">
      <c r="A33" s="49"/>
      <c r="B33" s="96"/>
      <c r="C33" s="47" t="str">
        <f>$W$18</f>
        <v>PGT (Masters' loan)</v>
      </c>
      <c r="D33" s="74">
        <v>17.5</v>
      </c>
      <c r="E33" s="406">
        <v>0</v>
      </c>
      <c r="F33" s="406">
        <v>0</v>
      </c>
      <c r="G33" s="406">
        <v>0</v>
      </c>
      <c r="H33" s="412">
        <v>0</v>
      </c>
      <c r="I33" s="412">
        <v>0</v>
      </c>
      <c r="J33" s="412">
        <v>0</v>
      </c>
      <c r="K33" s="412">
        <v>0</v>
      </c>
      <c r="L33" s="17"/>
      <c r="M33" s="406">
        <v>0</v>
      </c>
      <c r="N33" s="406">
        <v>0</v>
      </c>
      <c r="O33" s="406">
        <v>0</v>
      </c>
      <c r="P33" s="412">
        <v>0</v>
      </c>
      <c r="Q33" s="17"/>
      <c r="R33" s="72" t="s">
        <v>27</v>
      </c>
      <c r="S33" s="72" t="s">
        <v>14</v>
      </c>
      <c r="T33" s="72" t="s">
        <v>46</v>
      </c>
    </row>
    <row r="34" spans="1:20" x14ac:dyDescent="0.2">
      <c r="A34" s="49"/>
      <c r="B34" s="77"/>
      <c r="C34" s="78" t="str">
        <f>$W$19</f>
        <v>PGT (Other)</v>
      </c>
      <c r="D34" s="79">
        <v>0</v>
      </c>
      <c r="E34" s="407">
        <v>0</v>
      </c>
      <c r="F34" s="407">
        <v>0</v>
      </c>
      <c r="G34" s="407">
        <v>0</v>
      </c>
      <c r="H34" s="410">
        <v>0</v>
      </c>
      <c r="I34" s="410">
        <v>0</v>
      </c>
      <c r="J34" s="410">
        <v>0</v>
      </c>
      <c r="K34" s="410">
        <v>0</v>
      </c>
      <c r="L34" s="17"/>
      <c r="M34" s="407">
        <v>0</v>
      </c>
      <c r="N34" s="407">
        <v>0</v>
      </c>
      <c r="O34" s="407">
        <v>0</v>
      </c>
      <c r="P34" s="410">
        <v>0</v>
      </c>
      <c r="Q34" s="17"/>
      <c r="R34" s="72" t="s">
        <v>27</v>
      </c>
      <c r="S34" s="72" t="s">
        <v>14</v>
      </c>
      <c r="T34" s="72" t="s">
        <v>47</v>
      </c>
    </row>
    <row r="35" spans="1:20" x14ac:dyDescent="0.2">
      <c r="A35" s="49"/>
      <c r="B35" s="82" t="s">
        <v>223</v>
      </c>
      <c r="C35" s="83" t="s">
        <v>6</v>
      </c>
      <c r="D35" s="84">
        <v>21084.38</v>
      </c>
      <c r="E35" s="408">
        <v>0</v>
      </c>
      <c r="F35" s="408">
        <v>0</v>
      </c>
      <c r="G35" s="408">
        <v>0</v>
      </c>
      <c r="H35" s="411">
        <v>0</v>
      </c>
      <c r="I35" s="411">
        <v>0</v>
      </c>
      <c r="J35" s="411">
        <v>0</v>
      </c>
      <c r="K35" s="411">
        <v>0</v>
      </c>
      <c r="L35" s="17"/>
      <c r="M35" s="408">
        <v>0</v>
      </c>
      <c r="N35" s="408">
        <v>0</v>
      </c>
      <c r="O35" s="408">
        <v>0</v>
      </c>
      <c r="P35" s="411">
        <v>0</v>
      </c>
      <c r="Q35" s="17"/>
      <c r="R35" s="72" t="s">
        <v>27</v>
      </c>
      <c r="S35" s="72" t="s">
        <v>1</v>
      </c>
      <c r="T35" s="72" t="s">
        <v>6</v>
      </c>
    </row>
    <row r="36" spans="1:20" x14ac:dyDescent="0.2">
      <c r="A36" s="49"/>
      <c r="B36" s="49"/>
      <c r="C36" s="47" t="str">
        <f>$W$17</f>
        <v>PGT (UG fee)</v>
      </c>
      <c r="D36" s="74">
        <v>658.2</v>
      </c>
      <c r="E36" s="406">
        <v>0</v>
      </c>
      <c r="F36" s="406">
        <v>0</v>
      </c>
      <c r="G36" s="406">
        <v>0</v>
      </c>
      <c r="H36" s="412">
        <v>0</v>
      </c>
      <c r="I36" s="412">
        <v>0</v>
      </c>
      <c r="J36" s="412">
        <v>0</v>
      </c>
      <c r="K36" s="412">
        <v>0</v>
      </c>
      <c r="L36" s="17"/>
      <c r="M36" s="406">
        <v>0</v>
      </c>
      <c r="N36" s="406">
        <v>0</v>
      </c>
      <c r="O36" s="406">
        <v>0</v>
      </c>
      <c r="P36" s="412">
        <v>0</v>
      </c>
      <c r="Q36" s="17"/>
      <c r="R36" s="72" t="s">
        <v>27</v>
      </c>
      <c r="S36" s="72" t="s">
        <v>1</v>
      </c>
      <c r="T36" s="72" t="s">
        <v>33</v>
      </c>
    </row>
    <row r="37" spans="1:20" x14ac:dyDescent="0.2">
      <c r="A37" s="49"/>
      <c r="B37" s="49"/>
      <c r="C37" s="47" t="str">
        <f>$W$18</f>
        <v>PGT (Masters' loan)</v>
      </c>
      <c r="D37" s="74">
        <v>5853.27</v>
      </c>
      <c r="E37" s="406">
        <v>0</v>
      </c>
      <c r="F37" s="406">
        <v>0</v>
      </c>
      <c r="G37" s="406">
        <v>0</v>
      </c>
      <c r="H37" s="412">
        <v>0</v>
      </c>
      <c r="I37" s="412">
        <v>0</v>
      </c>
      <c r="J37" s="412">
        <v>0</v>
      </c>
      <c r="K37" s="412">
        <v>0</v>
      </c>
      <c r="L37" s="17"/>
      <c r="M37" s="406">
        <v>0</v>
      </c>
      <c r="N37" s="406">
        <v>0</v>
      </c>
      <c r="O37" s="406">
        <v>0</v>
      </c>
      <c r="P37" s="412">
        <v>0</v>
      </c>
      <c r="Q37" s="17"/>
      <c r="R37" s="72" t="s">
        <v>27</v>
      </c>
      <c r="S37" s="72" t="s">
        <v>1</v>
      </c>
      <c r="T37" s="72" t="s">
        <v>46</v>
      </c>
    </row>
    <row r="38" spans="1:20" x14ac:dyDescent="0.2">
      <c r="A38" s="88"/>
      <c r="B38" s="88"/>
      <c r="C38" s="89" t="str">
        <f>$W$19</f>
        <v>PGT (Other)</v>
      </c>
      <c r="D38" s="90">
        <v>2888.7</v>
      </c>
      <c r="E38" s="409">
        <v>0</v>
      </c>
      <c r="F38" s="409">
        <v>0</v>
      </c>
      <c r="G38" s="409">
        <v>0</v>
      </c>
      <c r="H38" s="413">
        <v>0</v>
      </c>
      <c r="I38" s="413">
        <v>0</v>
      </c>
      <c r="J38" s="413">
        <v>0</v>
      </c>
      <c r="K38" s="413">
        <v>0</v>
      </c>
      <c r="L38" s="17"/>
      <c r="M38" s="409">
        <v>0</v>
      </c>
      <c r="N38" s="409">
        <v>0</v>
      </c>
      <c r="O38" s="409">
        <v>0</v>
      </c>
      <c r="P38" s="413">
        <v>0</v>
      </c>
      <c r="Q38" s="17"/>
      <c r="R38" s="72" t="s">
        <v>27</v>
      </c>
      <c r="S38" s="72" t="s">
        <v>1</v>
      </c>
      <c r="T38" s="72" t="s">
        <v>47</v>
      </c>
    </row>
    <row r="39" spans="1:20" x14ac:dyDescent="0.2">
      <c r="A39" s="67" t="s">
        <v>9</v>
      </c>
      <c r="B39" s="67" t="s">
        <v>219</v>
      </c>
      <c r="C39" s="47" t="s">
        <v>6</v>
      </c>
      <c r="D39" s="93">
        <v>347146.93</v>
      </c>
      <c r="E39" s="414">
        <v>0</v>
      </c>
      <c r="F39" s="414">
        <v>0</v>
      </c>
      <c r="G39" s="414">
        <v>0</v>
      </c>
      <c r="H39" s="417">
        <v>0</v>
      </c>
      <c r="I39" s="417">
        <v>0</v>
      </c>
      <c r="J39" s="417">
        <v>0</v>
      </c>
      <c r="K39" s="417">
        <v>0</v>
      </c>
      <c r="L39" s="17"/>
      <c r="M39" s="414">
        <v>0</v>
      </c>
      <c r="N39" s="414">
        <v>0</v>
      </c>
      <c r="O39" s="414">
        <v>0</v>
      </c>
      <c r="P39" s="417">
        <v>0</v>
      </c>
      <c r="Q39" s="17"/>
      <c r="R39" s="72" t="s">
        <v>9</v>
      </c>
      <c r="S39" s="72" t="s">
        <v>2</v>
      </c>
      <c r="T39" s="72" t="s">
        <v>6</v>
      </c>
    </row>
    <row r="40" spans="1:20" x14ac:dyDescent="0.2">
      <c r="A40" s="49"/>
      <c r="B40" s="49"/>
      <c r="C40" s="47" t="str">
        <f>$W$17</f>
        <v>PGT (UG fee)</v>
      </c>
      <c r="D40" s="74">
        <v>34.76</v>
      </c>
      <c r="E40" s="406">
        <v>0</v>
      </c>
      <c r="F40" s="406">
        <v>0</v>
      </c>
      <c r="G40" s="406">
        <v>0</v>
      </c>
      <c r="H40" s="412">
        <v>0</v>
      </c>
      <c r="I40" s="412">
        <v>0</v>
      </c>
      <c r="J40" s="412">
        <v>0</v>
      </c>
      <c r="K40" s="412">
        <v>0</v>
      </c>
      <c r="L40" s="17"/>
      <c r="M40" s="406">
        <v>0</v>
      </c>
      <c r="N40" s="406">
        <v>0</v>
      </c>
      <c r="O40" s="406">
        <v>0</v>
      </c>
      <c r="P40" s="412">
        <v>0</v>
      </c>
      <c r="Q40" s="17"/>
      <c r="R40" s="72" t="s">
        <v>9</v>
      </c>
      <c r="S40" s="72" t="s">
        <v>2</v>
      </c>
      <c r="T40" s="72" t="s">
        <v>33</v>
      </c>
    </row>
    <row r="41" spans="1:20" x14ac:dyDescent="0.2">
      <c r="A41" s="49"/>
      <c r="B41" s="49"/>
      <c r="C41" s="47" t="str">
        <f>$W$18</f>
        <v>PGT (Masters' loan)</v>
      </c>
      <c r="D41" s="74">
        <v>25758.13</v>
      </c>
      <c r="E41" s="406">
        <v>0</v>
      </c>
      <c r="F41" s="406">
        <v>0</v>
      </c>
      <c r="G41" s="406">
        <v>0</v>
      </c>
      <c r="H41" s="412">
        <v>0</v>
      </c>
      <c r="I41" s="412">
        <v>0</v>
      </c>
      <c r="J41" s="412">
        <v>0</v>
      </c>
      <c r="K41" s="412">
        <v>0</v>
      </c>
      <c r="L41" s="17"/>
      <c r="M41" s="406">
        <v>0</v>
      </c>
      <c r="N41" s="406">
        <v>0</v>
      </c>
      <c r="O41" s="406">
        <v>0</v>
      </c>
      <c r="P41" s="412">
        <v>0</v>
      </c>
      <c r="Q41" s="17"/>
      <c r="R41" s="72" t="s">
        <v>9</v>
      </c>
      <c r="S41" s="72" t="s">
        <v>2</v>
      </c>
      <c r="T41" s="72" t="s">
        <v>46</v>
      </c>
    </row>
    <row r="42" spans="1:20" x14ac:dyDescent="0.2">
      <c r="A42" s="49"/>
      <c r="B42" s="77"/>
      <c r="C42" s="78" t="str">
        <f>$W$19</f>
        <v>PGT (Other)</v>
      </c>
      <c r="D42" s="79">
        <v>1408.47</v>
      </c>
      <c r="E42" s="407">
        <v>0</v>
      </c>
      <c r="F42" s="407">
        <v>0</v>
      </c>
      <c r="G42" s="407">
        <v>0</v>
      </c>
      <c r="H42" s="410">
        <v>0</v>
      </c>
      <c r="I42" s="410">
        <v>0</v>
      </c>
      <c r="J42" s="410">
        <v>0</v>
      </c>
      <c r="K42" s="410">
        <v>0</v>
      </c>
      <c r="M42" s="407">
        <v>0</v>
      </c>
      <c r="N42" s="407">
        <v>0</v>
      </c>
      <c r="O42" s="407">
        <v>0</v>
      </c>
      <c r="P42" s="410">
        <v>0</v>
      </c>
      <c r="R42" s="72" t="s">
        <v>9</v>
      </c>
      <c r="S42" s="72" t="s">
        <v>2</v>
      </c>
      <c r="T42" s="72" t="s">
        <v>47</v>
      </c>
    </row>
    <row r="43" spans="1:20" x14ac:dyDescent="0.2">
      <c r="A43" s="49"/>
      <c r="B43" s="82" t="s">
        <v>223</v>
      </c>
      <c r="C43" s="83" t="s">
        <v>6</v>
      </c>
      <c r="D43" s="84">
        <v>25896.5</v>
      </c>
      <c r="E43" s="408">
        <v>0</v>
      </c>
      <c r="F43" s="408">
        <v>0</v>
      </c>
      <c r="G43" s="408">
        <v>0</v>
      </c>
      <c r="H43" s="411">
        <v>0</v>
      </c>
      <c r="I43" s="411">
        <v>0</v>
      </c>
      <c r="J43" s="411">
        <v>0</v>
      </c>
      <c r="K43" s="411">
        <v>0</v>
      </c>
      <c r="M43" s="408">
        <v>0</v>
      </c>
      <c r="N43" s="408">
        <v>0</v>
      </c>
      <c r="O43" s="408">
        <v>0</v>
      </c>
      <c r="P43" s="411">
        <v>0</v>
      </c>
      <c r="R43" s="72" t="s">
        <v>9</v>
      </c>
      <c r="S43" s="72" t="s">
        <v>1</v>
      </c>
      <c r="T43" s="72" t="s">
        <v>6</v>
      </c>
    </row>
    <row r="44" spans="1:20" x14ac:dyDescent="0.2">
      <c r="A44" s="49"/>
      <c r="B44" s="49"/>
      <c r="C44" s="47" t="str">
        <f>$W$17</f>
        <v>PGT (UG fee)</v>
      </c>
      <c r="D44" s="74">
        <v>32.25</v>
      </c>
      <c r="E44" s="406">
        <v>0</v>
      </c>
      <c r="F44" s="406">
        <v>0</v>
      </c>
      <c r="G44" s="406">
        <v>0</v>
      </c>
      <c r="H44" s="412">
        <v>0</v>
      </c>
      <c r="I44" s="412">
        <v>0</v>
      </c>
      <c r="J44" s="412">
        <v>0</v>
      </c>
      <c r="K44" s="412">
        <v>0</v>
      </c>
      <c r="M44" s="406">
        <v>0</v>
      </c>
      <c r="N44" s="406">
        <v>0</v>
      </c>
      <c r="O44" s="406">
        <v>0</v>
      </c>
      <c r="P44" s="412">
        <v>0</v>
      </c>
      <c r="R44" s="72" t="s">
        <v>9</v>
      </c>
      <c r="S44" s="72" t="s">
        <v>1</v>
      </c>
      <c r="T44" s="72" t="s">
        <v>33</v>
      </c>
    </row>
    <row r="45" spans="1:20" x14ac:dyDescent="0.2">
      <c r="A45" s="49"/>
      <c r="B45" s="49"/>
      <c r="C45" s="47" t="str">
        <f>$W$18</f>
        <v>PGT (Masters' loan)</v>
      </c>
      <c r="D45" s="74">
        <v>10211.299999999999</v>
      </c>
      <c r="E45" s="406">
        <v>0</v>
      </c>
      <c r="F45" s="406">
        <v>0</v>
      </c>
      <c r="G45" s="406">
        <v>0</v>
      </c>
      <c r="H45" s="412">
        <v>0</v>
      </c>
      <c r="I45" s="412">
        <v>0</v>
      </c>
      <c r="J45" s="412">
        <v>0</v>
      </c>
      <c r="K45" s="412">
        <v>0</v>
      </c>
      <c r="M45" s="406">
        <v>0</v>
      </c>
      <c r="N45" s="406">
        <v>0</v>
      </c>
      <c r="O45" s="406">
        <v>0</v>
      </c>
      <c r="P45" s="412">
        <v>0</v>
      </c>
      <c r="R45" s="72" t="s">
        <v>9</v>
      </c>
      <c r="S45" s="72" t="s">
        <v>1</v>
      </c>
      <c r="T45" s="72" t="s">
        <v>46</v>
      </c>
    </row>
    <row r="46" spans="1:20" ht="14.25" thickBot="1" x14ac:dyDescent="0.25">
      <c r="A46" s="49"/>
      <c r="B46" s="49"/>
      <c r="C46" s="47" t="str">
        <f>$W$19</f>
        <v>PGT (Other)</v>
      </c>
      <c r="D46" s="97">
        <v>3040.19</v>
      </c>
      <c r="E46" s="415">
        <v>0</v>
      </c>
      <c r="F46" s="415">
        <v>0</v>
      </c>
      <c r="G46" s="415">
        <v>0</v>
      </c>
      <c r="H46" s="418">
        <v>0</v>
      </c>
      <c r="I46" s="418">
        <v>0</v>
      </c>
      <c r="J46" s="418">
        <v>0</v>
      </c>
      <c r="K46" s="418">
        <v>0</v>
      </c>
      <c r="M46" s="415">
        <v>0</v>
      </c>
      <c r="N46" s="415">
        <v>0</v>
      </c>
      <c r="O46" s="415">
        <v>0</v>
      </c>
      <c r="P46" s="418">
        <v>0</v>
      </c>
      <c r="R46" s="72" t="s">
        <v>9</v>
      </c>
      <c r="S46" s="72" t="s">
        <v>1</v>
      </c>
      <c r="T46" s="72" t="s">
        <v>47</v>
      </c>
    </row>
    <row r="47" spans="1:20" ht="14.25" thickTop="1" x14ac:dyDescent="0.2">
      <c r="A47" s="98" t="s">
        <v>3</v>
      </c>
      <c r="B47" s="98"/>
      <c r="C47" s="99" t="s">
        <v>6</v>
      </c>
      <c r="D47" s="100">
        <f>SUMIF($C$5:$C$46,"="&amp;$C$47,D$5:D$46)</f>
        <v>1065425.19</v>
      </c>
      <c r="E47" s="101">
        <f>SUM(E11,E15,E19,E23,E31)</f>
        <v>20925.75</v>
      </c>
      <c r="F47" s="416"/>
      <c r="G47" s="101">
        <f>SUM(G5,G8)</f>
        <v>118.4</v>
      </c>
      <c r="H47" s="101">
        <f>SUM(H5,H11)</f>
        <v>-65.209999999999994</v>
      </c>
      <c r="I47" s="101">
        <f>SUM(I5,I8,I11,I15,I19,I23)</f>
        <v>1441.15</v>
      </c>
      <c r="J47" s="101">
        <f t="shared" ref="J47:K47" si="0">SUM(J5,J8,J11,J15,J19,J23)</f>
        <v>489845.86000000004</v>
      </c>
      <c r="K47" s="102">
        <f t="shared" si="0"/>
        <v>659822919</v>
      </c>
      <c r="M47" s="101">
        <f>SUM(M11,M15,M19,M23)</f>
        <v>20483.150000000001</v>
      </c>
      <c r="N47" s="101">
        <f>SUM(N5,N8,N11,N15,N19,N23)</f>
        <v>24784.329999999998</v>
      </c>
      <c r="O47" s="101">
        <f>SUM(O5,O8,O11,O15,O19,O23)</f>
        <v>66311.62999999999</v>
      </c>
      <c r="P47" s="102">
        <f>SUM(P5,P8,P11,P15,P19,P23)</f>
        <v>47347461</v>
      </c>
    </row>
    <row r="48" spans="1:20" x14ac:dyDescent="0.2">
      <c r="A48" s="103"/>
      <c r="B48" s="103"/>
      <c r="C48" s="20" t="str">
        <f>$W$17</f>
        <v>PGT (UG fee)</v>
      </c>
      <c r="D48" s="74">
        <f>SUMIF($C$5:$C$46,"="&amp;$C$48,D$5:D$46)</f>
        <v>5936.07</v>
      </c>
      <c r="E48" s="406"/>
      <c r="F48" s="75">
        <f>SUM(F12,F16,F20,F24)</f>
        <v>2171.6200000000003</v>
      </c>
      <c r="G48" s="406"/>
      <c r="H48" s="406"/>
      <c r="I48" s="75">
        <f>SUM(I12,I16,I20,I24)</f>
        <v>0</v>
      </c>
      <c r="J48" s="75">
        <f t="shared" ref="J48:K48" si="1">SUM(J12,J16,J20,J24)</f>
        <v>4559.24</v>
      </c>
      <c r="K48" s="76">
        <f t="shared" si="1"/>
        <v>3995447</v>
      </c>
      <c r="M48" s="406"/>
      <c r="N48" s="75">
        <f>SUM(N12,N16,N20,N24)</f>
        <v>2228.98</v>
      </c>
      <c r="O48" s="75">
        <f>SUM(O12,O16,O20,O24)</f>
        <v>4400.6000000000004</v>
      </c>
      <c r="P48" s="76">
        <f>SUM(P12,P16,P20,P24)</f>
        <v>3767578</v>
      </c>
    </row>
    <row r="49" spans="1:22" x14ac:dyDescent="0.2">
      <c r="A49" s="103"/>
      <c r="B49" s="103"/>
      <c r="C49" s="20" t="str">
        <f>$W$18</f>
        <v>PGT (Masters' loan)</v>
      </c>
      <c r="D49" s="74">
        <f>SUMIF($C$5:$C$46,"="&amp;$C$49,D$5:D$46)</f>
        <v>81540.350000000006</v>
      </c>
      <c r="E49" s="406"/>
      <c r="F49" s="406"/>
      <c r="G49" s="406"/>
      <c r="H49" s="406"/>
      <c r="I49" s="75">
        <f>SUM(I6,I9,I13,I17,I21,I25)</f>
        <v>0</v>
      </c>
      <c r="J49" s="75">
        <f t="shared" ref="J49:K49" si="2">SUM(J6,J9,J13,J17,J21,J25)</f>
        <v>27323.719999999998</v>
      </c>
      <c r="K49" s="76">
        <f t="shared" si="2"/>
        <v>37651208</v>
      </c>
      <c r="M49" s="406"/>
      <c r="N49" s="406"/>
      <c r="O49" s="406"/>
      <c r="P49" s="419"/>
    </row>
    <row r="50" spans="1:22" x14ac:dyDescent="0.2">
      <c r="A50" s="103"/>
      <c r="B50" s="103"/>
      <c r="C50" s="104" t="str">
        <f>$W$19</f>
        <v>PGT (Other)</v>
      </c>
      <c r="D50" s="97">
        <f>SUMIF($C$5:$C$46,"="&amp;$C$50,D$5:D$46)</f>
        <v>12007.37</v>
      </c>
      <c r="E50" s="415"/>
      <c r="F50" s="415"/>
      <c r="G50" s="415"/>
      <c r="H50" s="415"/>
      <c r="I50" s="105">
        <f>SUM(I7,I10,I14,I18,I22,I26)</f>
        <v>1.59</v>
      </c>
      <c r="J50" s="105">
        <f t="shared" ref="J50" si="3">SUM(J7,J10,J14,J18,J22,J26)</f>
        <v>3428.73</v>
      </c>
      <c r="K50" s="106">
        <f>SUM(K7,K10,K14,K18,K22,K26)</f>
        <v>9113847</v>
      </c>
      <c r="M50" s="415"/>
      <c r="N50" s="415"/>
      <c r="O50" s="415"/>
      <c r="P50" s="423"/>
    </row>
    <row r="51" spans="1:22" ht="14.25" thickBot="1" x14ac:dyDescent="0.25">
      <c r="A51" s="107"/>
      <c r="B51" s="107"/>
      <c r="C51" s="108" t="s">
        <v>4</v>
      </c>
      <c r="D51" s="109">
        <f>SUM(D47:D50)</f>
        <v>1164908.9800000002</v>
      </c>
      <c r="E51" s="110">
        <f>E47</f>
        <v>20925.75</v>
      </c>
      <c r="F51" s="110">
        <f>F48</f>
        <v>2171.6200000000003</v>
      </c>
      <c r="G51" s="110">
        <f>G47</f>
        <v>118.4</v>
      </c>
      <c r="H51" s="111">
        <f>H47</f>
        <v>-65.209999999999994</v>
      </c>
      <c r="I51" s="111">
        <f t="shared" ref="I51:K51" si="4">SUM(I47:I50)</f>
        <v>1442.74</v>
      </c>
      <c r="J51" s="111">
        <f t="shared" si="4"/>
        <v>525157.55000000005</v>
      </c>
      <c r="K51" s="112">
        <f t="shared" si="4"/>
        <v>710583421</v>
      </c>
      <c r="M51" s="110">
        <f>M47</f>
        <v>20483.150000000001</v>
      </c>
      <c r="N51" s="110">
        <f>SUM(N47:N48)</f>
        <v>27013.309999999998</v>
      </c>
      <c r="O51" s="110">
        <f>SUM(O47:O48)</f>
        <v>70712.23</v>
      </c>
      <c r="P51" s="112">
        <f>SUM(P47:P48)</f>
        <v>51115039</v>
      </c>
      <c r="V51" s="17"/>
    </row>
    <row r="52" spans="1:22" x14ac:dyDescent="0.2">
      <c r="V52" s="17"/>
    </row>
    <row r="53" spans="1:22" x14ac:dyDescent="0.2">
      <c r="A53" s="9" t="s">
        <v>286</v>
      </c>
      <c r="V53" s="17"/>
    </row>
    <row r="54" spans="1:22" x14ac:dyDescent="0.2">
      <c r="A54" s="9" t="s">
        <v>287</v>
      </c>
      <c r="V54" s="17"/>
    </row>
    <row r="55" spans="1:22" x14ac:dyDescent="0.2">
      <c r="V55" s="17"/>
    </row>
    <row r="56" spans="1:22" hidden="1" x14ac:dyDescent="0.2">
      <c r="D56" s="72" t="s">
        <v>43</v>
      </c>
      <c r="E56" s="72" t="s">
        <v>192</v>
      </c>
      <c r="F56" s="72" t="s">
        <v>194</v>
      </c>
      <c r="G56" s="72" t="s">
        <v>195</v>
      </c>
      <c r="H56" s="72" t="s">
        <v>35</v>
      </c>
      <c r="I56" s="72" t="s">
        <v>263</v>
      </c>
      <c r="J56" s="72" t="s">
        <v>264</v>
      </c>
      <c r="K56" s="72" t="s">
        <v>265</v>
      </c>
      <c r="L56" s="113"/>
      <c r="M56" s="72" t="s">
        <v>193</v>
      </c>
      <c r="N56" s="72" t="s">
        <v>262</v>
      </c>
      <c r="O56" s="72" t="s">
        <v>132</v>
      </c>
      <c r="P56" s="114" t="s">
        <v>266</v>
      </c>
    </row>
    <row r="57" spans="1:22" x14ac:dyDescent="0.2">
      <c r="A57" s="17"/>
      <c r="B57" s="17"/>
      <c r="C57" s="17"/>
      <c r="D57" s="17"/>
      <c r="E57" s="17"/>
      <c r="F57" s="17"/>
      <c r="G57" s="17"/>
      <c r="H57" s="324"/>
      <c r="I57" s="17"/>
      <c r="J57" s="17"/>
      <c r="K57" s="17"/>
      <c r="L57" s="17"/>
      <c r="M57" s="17"/>
      <c r="N57" s="17"/>
      <c r="O57" s="17"/>
      <c r="P57" s="17"/>
      <c r="Q57" s="17"/>
      <c r="R57" s="17"/>
    </row>
    <row r="58" spans="1:22" x14ac:dyDescent="0.2">
      <c r="A58" s="49"/>
      <c r="B58" s="49"/>
      <c r="C58" s="49"/>
      <c r="D58" s="17"/>
      <c r="E58" s="17"/>
      <c r="F58" s="17"/>
      <c r="G58" s="17"/>
      <c r="H58" s="17"/>
      <c r="I58" s="17"/>
      <c r="J58" s="17"/>
      <c r="K58" s="17"/>
      <c r="L58" s="17"/>
      <c r="M58" s="17"/>
      <c r="N58" s="17"/>
      <c r="O58" s="17"/>
      <c r="P58" s="17"/>
      <c r="Q58" s="17"/>
      <c r="R58" s="17"/>
    </row>
    <row r="59" spans="1:22" x14ac:dyDescent="0.2">
      <c r="A59" s="49"/>
      <c r="B59" s="49"/>
      <c r="C59" s="49"/>
      <c r="D59" s="17"/>
      <c r="E59" s="17"/>
      <c r="F59" s="17"/>
      <c r="G59" s="17"/>
      <c r="H59" s="324"/>
      <c r="I59" s="17"/>
      <c r="J59" s="17"/>
      <c r="K59" s="17"/>
      <c r="L59" s="17"/>
      <c r="M59" s="17"/>
      <c r="N59" s="17"/>
      <c r="O59" s="17"/>
      <c r="P59" s="17"/>
      <c r="Q59" s="17"/>
      <c r="R59" s="17"/>
    </row>
    <row r="60" spans="1:22" x14ac:dyDescent="0.2">
      <c r="A60" s="49"/>
      <c r="B60" s="49"/>
      <c r="C60" s="49"/>
      <c r="D60" s="17"/>
      <c r="E60" s="17"/>
      <c r="F60" s="17"/>
      <c r="G60" s="17"/>
      <c r="H60" s="17"/>
      <c r="I60" s="17"/>
      <c r="J60" s="17"/>
      <c r="K60" s="17"/>
      <c r="L60" s="17"/>
      <c r="M60" s="17"/>
      <c r="N60" s="17"/>
      <c r="O60" s="17"/>
      <c r="P60" s="17"/>
      <c r="Q60" s="17"/>
      <c r="R60" s="17"/>
    </row>
    <row r="61" spans="1:22" x14ac:dyDescent="0.2">
      <c r="A61" s="49"/>
      <c r="B61" s="49"/>
      <c r="C61" s="49"/>
    </row>
    <row r="62" spans="1:22" x14ac:dyDescent="0.2">
      <c r="A62" s="49"/>
      <c r="B62" s="49"/>
      <c r="C62" s="49"/>
    </row>
    <row r="63" spans="1:22" x14ac:dyDescent="0.2">
      <c r="A63" s="49"/>
      <c r="B63" s="49"/>
      <c r="C63" s="49"/>
    </row>
    <row r="64" spans="1:22" x14ac:dyDescent="0.2">
      <c r="A64" s="115"/>
      <c r="B64" s="115"/>
      <c r="C64" s="115"/>
    </row>
  </sheetData>
  <mergeCells count="3">
    <mergeCell ref="B31:B32"/>
    <mergeCell ref="A1:J1"/>
    <mergeCell ref="M3:P3"/>
  </mergeCells>
  <phoneticPr fontId="0" type="noConversion"/>
  <conditionalFormatting sqref="E5:F10 F11 E12:E14 F13:F15 E16:E18 F17:F19 E20:E22 F21:F23 E24:E29 E30 F25:F31 E32:E46 F33:F46 F47 E48:E50 F49:F50 G48:H50 G6:H7 H8:H10 G9:G46 G48:G50 H12:H46 I27:K46 M5:M10 M12:M14 M16:M18 M20:M22 M24:M46 M48:M50 N6:P7 N9:P10 N13:P14 N17:P18 N21:P22 N25:P46 N49:P50">
    <cfRule type="cellIs" dxfId="10" priority="2" operator="equal">
      <formula>0</formula>
    </cfRule>
  </conditionalFormatting>
  <conditionalFormatting sqref="D5:D51 E51 E47 F51 F48 G51 G47 H51 H47 I47:K51 F24 E23 F20 E19 F16 E15 H11 F12 E11 G8 G5:H5 I5:K26 N5:P5 N8:P8 M11:N11 M11:P11 N12:P12 M15:P15 N16:P16 M19:P19 N20:P20 M23:P23 N24:P24 M47:P47 N48:P48 P48 M51:P51">
    <cfRule type="cellIs" dxfId="9" priority="1" operator="equal">
      <formula>0</formula>
    </cfRule>
  </conditionalFormatting>
  <pageMargins left="0.70866141732283472" right="0.70866141732283472" top="0.74803149606299213" bottom="0.74803149606299213" header="0.31496062992125984" footer="0.31496062992125984"/>
  <pageSetup paperSize="9" scale="60" orientation="landscape" r:id="rId1"/>
  <headerFooter>
    <oddHeader>&amp;CPage &amp;P&amp;R2019-20 Spring individual grant tables.xlsx</oddHeader>
  </headerFooter>
  <ignoredErrors>
    <ignoredError sqref="F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sheetPr>
  <dimension ref="A1:AJ94"/>
  <sheetViews>
    <sheetView showGridLines="0" zoomScaleNormal="100" workbookViewId="0">
      <selection sqref="A1:G1"/>
    </sheetView>
  </sheetViews>
  <sheetFormatPr defaultColWidth="9.140625" defaultRowHeight="13.5" x14ac:dyDescent="0.2"/>
  <cols>
    <col min="1" max="1" width="14.7109375" style="120" customWidth="1"/>
    <col min="2" max="2" width="14.28515625" style="120" customWidth="1"/>
    <col min="3" max="3" width="12.5703125" style="120" customWidth="1"/>
    <col min="4" max="4" width="14.140625" style="120" customWidth="1"/>
    <col min="5" max="5" width="25.42578125" style="116" customWidth="1"/>
    <col min="6" max="6" width="6.85546875" style="116" customWidth="1"/>
    <col min="7" max="7" width="13.42578125" style="117" customWidth="1"/>
    <col min="8" max="8" width="25.85546875" style="118" hidden="1" customWidth="1"/>
    <col min="9" max="9" width="15.42578125" style="117" hidden="1" customWidth="1"/>
    <col min="10" max="10" width="12.140625" style="119" hidden="1" customWidth="1"/>
    <col min="11" max="11" width="12.140625" style="119" customWidth="1"/>
    <col min="12" max="12" width="9.140625" style="120" customWidth="1"/>
    <col min="13" max="13" width="13.7109375" style="120" customWidth="1"/>
    <col min="14" max="14" width="13.5703125" style="120" customWidth="1"/>
    <col min="15" max="16" width="9.140625" style="120" customWidth="1"/>
    <col min="17" max="17" width="9.140625" style="120"/>
    <col min="18" max="18" width="11.7109375" style="120" bestFit="1" customWidth="1"/>
    <col min="19" max="16384" width="9.140625" style="120"/>
  </cols>
  <sheetData>
    <row r="1" spans="1:15" ht="15.75" customHeight="1" x14ac:dyDescent="0.2">
      <c r="A1" s="567" t="str">
        <f>'A Summary'!J8</f>
        <v>Providers registered in the 'Approved (fee cap)' category by 15 April 2019 (UKPRN: ALL)</v>
      </c>
      <c r="B1" s="567"/>
      <c r="C1" s="567"/>
      <c r="D1" s="567"/>
      <c r="E1" s="567"/>
      <c r="F1" s="567"/>
      <c r="G1" s="567"/>
    </row>
    <row r="2" spans="1:15" ht="15" customHeight="1" x14ac:dyDescent="0.2">
      <c r="E2" s="17"/>
      <c r="F2" s="17"/>
    </row>
    <row r="3" spans="1:15" ht="15.75" x14ac:dyDescent="0.25">
      <c r="A3" s="121" t="s">
        <v>240</v>
      </c>
      <c r="B3" s="121"/>
      <c r="C3" s="121"/>
      <c r="D3" s="121"/>
      <c r="I3" s="120" t="s">
        <v>311</v>
      </c>
    </row>
    <row r="4" spans="1:15" ht="52.5" customHeight="1" thickBot="1" x14ac:dyDescent="0.25">
      <c r="A4" s="510" t="s">
        <v>226</v>
      </c>
      <c r="B4" s="510"/>
      <c r="C4" s="510"/>
      <c r="D4" s="510"/>
      <c r="E4" s="510"/>
      <c r="F4" s="122"/>
      <c r="G4" s="125"/>
      <c r="I4" s="473" t="s">
        <v>314</v>
      </c>
    </row>
    <row r="5" spans="1:15" ht="45" customHeight="1" x14ac:dyDescent="0.2">
      <c r="A5" s="127" t="s">
        <v>197</v>
      </c>
      <c r="B5" s="127" t="s">
        <v>198</v>
      </c>
      <c r="C5" s="128" t="s">
        <v>199</v>
      </c>
      <c r="D5" s="128" t="s">
        <v>200</v>
      </c>
      <c r="E5" s="399" t="s">
        <v>268</v>
      </c>
      <c r="F5" s="122"/>
      <c r="G5" s="125"/>
      <c r="H5" s="131" t="s">
        <v>57</v>
      </c>
      <c r="I5" s="474" t="s">
        <v>315</v>
      </c>
      <c r="J5" s="132"/>
      <c r="K5" s="133"/>
    </row>
    <row r="6" spans="1:15" ht="15" customHeight="1" x14ac:dyDescent="0.2">
      <c r="A6" s="134" t="s">
        <v>201</v>
      </c>
      <c r="B6" s="134" t="s">
        <v>202</v>
      </c>
      <c r="C6" s="478" t="s">
        <v>203</v>
      </c>
      <c r="D6" s="478">
        <v>1</v>
      </c>
      <c r="E6" s="135">
        <v>123956</v>
      </c>
      <c r="F6" s="136"/>
      <c r="G6" s="125"/>
      <c r="H6" s="138" t="s">
        <v>157</v>
      </c>
      <c r="I6" s="125"/>
      <c r="J6" s="120"/>
      <c r="K6" s="133"/>
      <c r="L6" s="139"/>
      <c r="M6" s="139"/>
    </row>
    <row r="7" spans="1:15" ht="15" customHeight="1" x14ac:dyDescent="0.2">
      <c r="A7" s="140"/>
      <c r="B7" s="141"/>
      <c r="C7" s="480" t="s">
        <v>204</v>
      </c>
      <c r="D7" s="480">
        <v>2</v>
      </c>
      <c r="E7" s="142">
        <v>175648</v>
      </c>
      <c r="F7" s="136"/>
      <c r="G7" s="125"/>
      <c r="H7" s="138" t="s">
        <v>158</v>
      </c>
      <c r="I7" s="125"/>
      <c r="J7" s="120"/>
      <c r="K7" s="133"/>
      <c r="L7" s="139"/>
      <c r="M7" s="139"/>
    </row>
    <row r="8" spans="1:15" ht="15" customHeight="1" x14ac:dyDescent="0.2">
      <c r="A8" s="140"/>
      <c r="B8" s="140" t="s">
        <v>205</v>
      </c>
      <c r="C8" s="479" t="s">
        <v>203</v>
      </c>
      <c r="D8" s="479">
        <v>1.5</v>
      </c>
      <c r="E8" s="483">
        <v>57567</v>
      </c>
      <c r="F8" s="136"/>
      <c r="G8" s="125"/>
      <c r="H8" s="138" t="s">
        <v>159</v>
      </c>
      <c r="I8" s="125"/>
      <c r="K8" s="133"/>
      <c r="L8" s="139"/>
      <c r="M8" s="139"/>
    </row>
    <row r="9" spans="1:15" ht="15" customHeight="1" x14ac:dyDescent="0.2">
      <c r="A9" s="143"/>
      <c r="B9" s="143"/>
      <c r="C9" s="481" t="s">
        <v>204</v>
      </c>
      <c r="D9" s="481">
        <v>2.5</v>
      </c>
      <c r="E9" s="484">
        <v>36046</v>
      </c>
      <c r="F9" s="136"/>
      <c r="G9" s="125"/>
      <c r="H9" s="138" t="s">
        <v>160</v>
      </c>
      <c r="I9" s="125"/>
      <c r="K9" s="133"/>
      <c r="L9" s="139"/>
      <c r="M9" s="139"/>
    </row>
    <row r="10" spans="1:15" ht="15" customHeight="1" x14ac:dyDescent="0.2">
      <c r="A10" s="140" t="s">
        <v>206</v>
      </c>
      <c r="B10" s="140" t="s">
        <v>202</v>
      </c>
      <c r="C10" s="479" t="s">
        <v>203</v>
      </c>
      <c r="D10" s="479">
        <v>1.5</v>
      </c>
      <c r="E10" s="483">
        <v>3416</v>
      </c>
      <c r="F10" s="136"/>
      <c r="G10" s="125"/>
      <c r="H10" s="138" t="s">
        <v>161</v>
      </c>
      <c r="I10" s="125"/>
      <c r="J10" s="120"/>
      <c r="K10" s="133"/>
      <c r="L10" s="139"/>
      <c r="M10" s="139"/>
    </row>
    <row r="11" spans="1:15" ht="15" customHeight="1" x14ac:dyDescent="0.2">
      <c r="A11" s="140"/>
      <c r="B11" s="141"/>
      <c r="C11" s="480" t="s">
        <v>204</v>
      </c>
      <c r="D11" s="480">
        <v>3</v>
      </c>
      <c r="E11" s="142">
        <v>14320</v>
      </c>
      <c r="F11" s="136"/>
      <c r="G11" s="125"/>
      <c r="H11" s="138" t="s">
        <v>162</v>
      </c>
      <c r="I11" s="125"/>
      <c r="J11" s="120"/>
      <c r="K11" s="133"/>
      <c r="L11" s="139"/>
      <c r="M11" s="139"/>
    </row>
    <row r="12" spans="1:15" ht="15" customHeight="1" x14ac:dyDescent="0.2">
      <c r="A12" s="140"/>
      <c r="B12" s="140" t="s">
        <v>205</v>
      </c>
      <c r="C12" s="479" t="s">
        <v>203</v>
      </c>
      <c r="D12" s="479">
        <v>1.5</v>
      </c>
      <c r="E12" s="483">
        <v>1944</v>
      </c>
      <c r="F12" s="136"/>
      <c r="G12" s="125"/>
      <c r="H12" s="138" t="s">
        <v>163</v>
      </c>
      <c r="I12" s="125"/>
      <c r="J12" s="120"/>
      <c r="K12" s="133"/>
      <c r="L12" s="139"/>
      <c r="M12" s="139"/>
    </row>
    <row r="13" spans="1:15" ht="15" customHeight="1" x14ac:dyDescent="0.2">
      <c r="A13" s="143"/>
      <c r="B13" s="481"/>
      <c r="C13" s="481" t="s">
        <v>204</v>
      </c>
      <c r="D13" s="481">
        <v>2.5</v>
      </c>
      <c r="E13" s="484">
        <v>10526</v>
      </c>
      <c r="F13" s="136"/>
      <c r="G13" s="125"/>
      <c r="H13" s="138" t="s">
        <v>164</v>
      </c>
      <c r="I13" s="125"/>
      <c r="J13" s="120"/>
      <c r="K13" s="133"/>
      <c r="L13" s="139"/>
      <c r="M13" s="139"/>
      <c r="N13" s="133"/>
      <c r="O13" s="133"/>
    </row>
    <row r="14" spans="1:15" ht="15" customHeight="1" x14ac:dyDescent="0.2">
      <c r="A14" s="140"/>
      <c r="B14" s="479"/>
      <c r="C14" s="479"/>
      <c r="D14" s="479"/>
      <c r="E14" s="483"/>
      <c r="F14" s="136"/>
      <c r="G14" s="125"/>
      <c r="H14" s="144"/>
      <c r="I14" s="125"/>
      <c r="J14" s="120"/>
      <c r="K14" s="133"/>
      <c r="L14" s="139"/>
      <c r="M14" s="139"/>
      <c r="N14" s="133"/>
      <c r="O14" s="133"/>
    </row>
    <row r="15" spans="1:15" s="133" customFormat="1" ht="15" customHeight="1" x14ac:dyDescent="0.2">
      <c r="A15" s="511" t="s">
        <v>102</v>
      </c>
      <c r="B15" s="511"/>
      <c r="C15" s="511"/>
      <c r="D15" s="511"/>
      <c r="E15" s="145">
        <v>729032.5</v>
      </c>
      <c r="F15" s="146"/>
      <c r="G15" s="124"/>
      <c r="H15" s="138" t="s">
        <v>72</v>
      </c>
      <c r="I15" s="124"/>
      <c r="N15" s="120"/>
      <c r="O15" s="120"/>
    </row>
    <row r="16" spans="1:15" ht="15" customHeight="1" x14ac:dyDescent="0.2">
      <c r="A16" s="508" t="s">
        <v>207</v>
      </c>
      <c r="B16" s="508"/>
      <c r="C16" s="508"/>
      <c r="D16" s="508"/>
      <c r="E16" s="483">
        <v>940953</v>
      </c>
      <c r="F16" s="136"/>
      <c r="G16" s="125"/>
      <c r="H16" s="138" t="s">
        <v>73</v>
      </c>
      <c r="I16" s="125"/>
      <c r="J16" s="120"/>
      <c r="K16" s="133"/>
    </row>
    <row r="17" spans="1:13" ht="15" customHeight="1" x14ac:dyDescent="0.2">
      <c r="A17" s="512" t="s">
        <v>220</v>
      </c>
      <c r="B17" s="512"/>
      <c r="C17" s="512"/>
      <c r="D17" s="512"/>
      <c r="E17" s="147">
        <v>0.77478099331209904</v>
      </c>
      <c r="F17" s="136"/>
      <c r="G17" s="149"/>
      <c r="H17" s="150" t="s">
        <v>175</v>
      </c>
      <c r="I17" s="149"/>
      <c r="J17" s="120"/>
      <c r="K17" s="133"/>
    </row>
    <row r="18" spans="1:13" ht="15" customHeight="1" x14ac:dyDescent="0.2">
      <c r="A18" s="513" t="s">
        <v>243</v>
      </c>
      <c r="B18" s="513"/>
      <c r="C18" s="513"/>
      <c r="D18" s="513"/>
      <c r="E18" s="152">
        <v>1018230.5</v>
      </c>
      <c r="F18" s="151"/>
      <c r="G18" s="125"/>
      <c r="H18" s="138" t="s">
        <v>74</v>
      </c>
      <c r="I18" s="125"/>
      <c r="J18" s="120"/>
      <c r="K18" s="133"/>
    </row>
    <row r="19" spans="1:13" ht="15" customHeight="1" x14ac:dyDescent="0.2">
      <c r="A19" s="509" t="s">
        <v>15</v>
      </c>
      <c r="B19" s="509"/>
      <c r="C19" s="509"/>
      <c r="D19" s="509"/>
      <c r="E19" s="152" t="s">
        <v>318</v>
      </c>
      <c r="F19" s="136"/>
      <c r="G19" s="125"/>
      <c r="H19" s="144"/>
      <c r="I19" s="125"/>
      <c r="J19" s="120"/>
      <c r="K19" s="133"/>
      <c r="L19" s="139"/>
      <c r="M19" s="139"/>
    </row>
    <row r="20" spans="1:13" ht="15" customHeight="1" x14ac:dyDescent="0.2">
      <c r="A20" s="516" t="s">
        <v>18</v>
      </c>
      <c r="B20" s="516"/>
      <c r="C20" s="516"/>
      <c r="D20" s="516"/>
      <c r="E20" s="147">
        <v>798505.79063484701</v>
      </c>
      <c r="F20" s="136"/>
      <c r="G20" s="125"/>
      <c r="H20" s="138" t="s">
        <v>71</v>
      </c>
      <c r="I20" s="125"/>
      <c r="J20" s="120"/>
      <c r="K20" s="133"/>
    </row>
    <row r="21" spans="1:13" ht="15" customHeight="1" x14ac:dyDescent="0.2">
      <c r="A21" s="528" t="s">
        <v>19</v>
      </c>
      <c r="B21" s="528"/>
      <c r="C21" s="528"/>
      <c r="D21" s="528"/>
      <c r="E21" s="154">
        <v>175.32747000000001</v>
      </c>
      <c r="F21" s="136"/>
      <c r="G21" s="125"/>
      <c r="H21" s="138" t="s">
        <v>75</v>
      </c>
      <c r="I21" s="125"/>
      <c r="J21" s="120"/>
      <c r="K21" s="133"/>
      <c r="L21" s="133"/>
      <c r="M21" s="133"/>
    </row>
    <row r="22" spans="1:13" ht="15" customHeight="1" x14ac:dyDescent="0.2">
      <c r="A22" s="519" t="s">
        <v>51</v>
      </c>
      <c r="B22" s="519"/>
      <c r="C22" s="519"/>
      <c r="D22" s="519"/>
      <c r="E22" s="482">
        <v>140000006</v>
      </c>
      <c r="F22" s="136"/>
      <c r="G22" s="125"/>
      <c r="H22" s="138" t="s">
        <v>180</v>
      </c>
      <c r="I22" s="125"/>
      <c r="K22" s="133"/>
      <c r="L22" s="133"/>
      <c r="M22" s="133"/>
    </row>
    <row r="23" spans="1:13" ht="15" customHeight="1" thickBot="1" x14ac:dyDescent="0.25">
      <c r="A23" s="514" t="s">
        <v>213</v>
      </c>
      <c r="B23" s="514"/>
      <c r="C23" s="514"/>
      <c r="D23" s="514"/>
      <c r="E23" s="156">
        <v>11292452</v>
      </c>
      <c r="F23" s="136"/>
      <c r="G23" s="125"/>
      <c r="H23" s="138" t="s">
        <v>181</v>
      </c>
      <c r="I23" s="125"/>
      <c r="K23" s="133"/>
      <c r="L23" s="133"/>
      <c r="M23" s="133"/>
    </row>
    <row r="24" spans="1:13" ht="15" customHeight="1" x14ac:dyDescent="0.2">
      <c r="A24" s="157"/>
      <c r="B24" s="157"/>
      <c r="C24" s="157"/>
      <c r="D24" s="157"/>
      <c r="E24" s="158"/>
      <c r="F24" s="122"/>
      <c r="G24" s="125"/>
      <c r="H24" s="144"/>
      <c r="I24" s="125"/>
      <c r="J24" s="120"/>
      <c r="K24" s="133"/>
      <c r="L24" s="133"/>
      <c r="M24" s="133"/>
    </row>
    <row r="25" spans="1:13" ht="15" customHeight="1" x14ac:dyDescent="0.2">
      <c r="A25" s="159"/>
      <c r="B25" s="159"/>
      <c r="C25" s="159"/>
      <c r="D25" s="159"/>
      <c r="E25" s="155"/>
      <c r="F25" s="122"/>
      <c r="G25" s="125"/>
      <c r="H25" s="144"/>
      <c r="I25" s="125"/>
      <c r="J25" s="120"/>
      <c r="K25" s="133"/>
    </row>
    <row r="26" spans="1:13" ht="15" customHeight="1" x14ac:dyDescent="0.2">
      <c r="A26" s="123"/>
      <c r="B26" s="123"/>
      <c r="C26" s="123"/>
      <c r="D26" s="123"/>
      <c r="E26" s="155"/>
      <c r="F26" s="122"/>
      <c r="G26" s="125"/>
      <c r="H26" s="160"/>
      <c r="I26" s="125"/>
      <c r="J26" s="120"/>
      <c r="K26" s="133"/>
    </row>
    <row r="27" spans="1:13" ht="14.25" thickBot="1" x14ac:dyDescent="0.25">
      <c r="A27" s="526" t="s">
        <v>227</v>
      </c>
      <c r="B27" s="526"/>
      <c r="C27" s="526"/>
      <c r="D27" s="526"/>
      <c r="E27" s="526"/>
      <c r="F27" s="122"/>
      <c r="G27" s="125"/>
      <c r="H27" s="126"/>
      <c r="I27" s="125"/>
      <c r="J27" s="120"/>
      <c r="K27" s="133"/>
    </row>
    <row r="28" spans="1:13" ht="44.25" customHeight="1" x14ac:dyDescent="0.2">
      <c r="A28" s="127" t="s">
        <v>197</v>
      </c>
      <c r="B28" s="127" t="s">
        <v>198</v>
      </c>
      <c r="C28" s="128" t="s">
        <v>199</v>
      </c>
      <c r="D28" s="128" t="s">
        <v>208</v>
      </c>
      <c r="E28" s="129" t="s">
        <v>268</v>
      </c>
      <c r="F28" s="122"/>
      <c r="G28" s="125"/>
      <c r="H28" s="126"/>
      <c r="I28" s="125"/>
      <c r="J28" s="120"/>
      <c r="K28" s="133"/>
    </row>
    <row r="29" spans="1:13" ht="15" customHeight="1" x14ac:dyDescent="0.2">
      <c r="A29" s="134" t="s">
        <v>201</v>
      </c>
      <c r="B29" s="134" t="s">
        <v>202</v>
      </c>
      <c r="C29" s="478" t="s">
        <v>203</v>
      </c>
      <c r="D29" s="478" t="s">
        <v>209</v>
      </c>
      <c r="E29" s="483">
        <v>34076</v>
      </c>
      <c r="F29" s="136"/>
      <c r="G29" s="125"/>
      <c r="H29" s="138" t="s">
        <v>167</v>
      </c>
      <c r="I29" s="125"/>
      <c r="J29" s="120"/>
      <c r="K29" s="133"/>
    </row>
    <row r="30" spans="1:13" ht="15" customHeight="1" x14ac:dyDescent="0.2">
      <c r="A30" s="140"/>
      <c r="B30" s="141"/>
      <c r="C30" s="480" t="s">
        <v>204</v>
      </c>
      <c r="D30" s="480" t="s">
        <v>209</v>
      </c>
      <c r="E30" s="142">
        <v>63781</v>
      </c>
      <c r="F30" s="136"/>
      <c r="G30" s="125"/>
      <c r="H30" s="138" t="s">
        <v>168</v>
      </c>
      <c r="I30" s="125"/>
      <c r="J30" s="120"/>
      <c r="K30" s="133"/>
    </row>
    <row r="31" spans="1:13" ht="15" customHeight="1" x14ac:dyDescent="0.2">
      <c r="A31" s="140"/>
      <c r="B31" s="140" t="s">
        <v>205</v>
      </c>
      <c r="C31" s="479" t="s">
        <v>203</v>
      </c>
      <c r="D31" s="479" t="s">
        <v>209</v>
      </c>
      <c r="E31" s="483">
        <v>24534</v>
      </c>
      <c r="F31" s="136"/>
      <c r="G31" s="125"/>
      <c r="H31" s="138" t="s">
        <v>169</v>
      </c>
      <c r="I31" s="125"/>
      <c r="J31" s="120"/>
      <c r="K31" s="133"/>
    </row>
    <row r="32" spans="1:13" ht="15" customHeight="1" x14ac:dyDescent="0.2">
      <c r="A32" s="143"/>
      <c r="B32" s="143"/>
      <c r="C32" s="481" t="s">
        <v>204</v>
      </c>
      <c r="D32" s="481" t="s">
        <v>209</v>
      </c>
      <c r="E32" s="484">
        <v>15232</v>
      </c>
      <c r="F32" s="136"/>
      <c r="G32" s="125"/>
      <c r="H32" s="138" t="s">
        <v>170</v>
      </c>
      <c r="I32" s="125"/>
      <c r="J32" s="120"/>
      <c r="K32" s="133"/>
    </row>
    <row r="33" spans="1:16" ht="15" customHeight="1" x14ac:dyDescent="0.2">
      <c r="A33" s="140" t="s">
        <v>206</v>
      </c>
      <c r="B33" s="140" t="s">
        <v>202</v>
      </c>
      <c r="C33" s="479" t="s">
        <v>203</v>
      </c>
      <c r="D33" s="479" t="s">
        <v>209</v>
      </c>
      <c r="E33" s="483">
        <v>1153</v>
      </c>
      <c r="F33" s="136"/>
      <c r="G33" s="125"/>
      <c r="H33" s="138" t="s">
        <v>171</v>
      </c>
      <c r="I33" s="125"/>
      <c r="J33" s="120"/>
      <c r="K33" s="133"/>
    </row>
    <row r="34" spans="1:16" ht="15" customHeight="1" x14ac:dyDescent="0.2">
      <c r="A34" s="140"/>
      <c r="B34" s="141"/>
      <c r="C34" s="480" t="s">
        <v>204</v>
      </c>
      <c r="D34" s="480" t="s">
        <v>209</v>
      </c>
      <c r="E34" s="142">
        <v>6306</v>
      </c>
      <c r="F34" s="136"/>
      <c r="G34" s="125"/>
      <c r="H34" s="138" t="s">
        <v>172</v>
      </c>
      <c r="I34" s="125"/>
      <c r="J34" s="120"/>
      <c r="K34" s="133"/>
    </row>
    <row r="35" spans="1:16" ht="15" customHeight="1" x14ac:dyDescent="0.2">
      <c r="A35" s="140"/>
      <c r="B35" s="140" t="s">
        <v>205</v>
      </c>
      <c r="C35" s="479" t="s">
        <v>203</v>
      </c>
      <c r="D35" s="479" t="s">
        <v>209</v>
      </c>
      <c r="E35" s="483">
        <v>888</v>
      </c>
      <c r="F35" s="136"/>
      <c r="G35" s="125"/>
      <c r="H35" s="138" t="s">
        <v>173</v>
      </c>
      <c r="I35" s="125"/>
      <c r="J35" s="120"/>
      <c r="K35" s="133"/>
    </row>
    <row r="36" spans="1:16" ht="15" customHeight="1" x14ac:dyDescent="0.2">
      <c r="A36" s="143"/>
      <c r="B36" s="481"/>
      <c r="C36" s="481" t="s">
        <v>204</v>
      </c>
      <c r="D36" s="481" t="s">
        <v>209</v>
      </c>
      <c r="E36" s="484">
        <v>5151</v>
      </c>
      <c r="F36" s="136"/>
      <c r="G36" s="125"/>
      <c r="H36" s="138" t="s">
        <v>174</v>
      </c>
      <c r="I36" s="125"/>
      <c r="J36" s="120"/>
      <c r="K36" s="133"/>
    </row>
    <row r="37" spans="1:16" ht="15" customHeight="1" x14ac:dyDescent="0.2">
      <c r="A37" s="140"/>
      <c r="B37" s="479"/>
      <c r="C37" s="479"/>
      <c r="D37" s="479"/>
      <c r="E37" s="483"/>
      <c r="F37" s="136"/>
      <c r="G37" s="125"/>
      <c r="H37" s="144"/>
      <c r="I37" s="125"/>
      <c r="J37" s="120"/>
      <c r="K37" s="133"/>
    </row>
    <row r="38" spans="1:16" ht="15" customHeight="1" x14ac:dyDescent="0.2">
      <c r="A38" s="507" t="s">
        <v>313</v>
      </c>
      <c r="B38" s="507"/>
      <c r="C38" s="507"/>
      <c r="D38" s="507"/>
      <c r="E38" s="135">
        <v>151121</v>
      </c>
      <c r="F38" s="136"/>
      <c r="G38" s="125"/>
      <c r="H38" s="138" t="s">
        <v>76</v>
      </c>
      <c r="I38" s="125"/>
      <c r="J38" s="120"/>
      <c r="K38" s="133"/>
    </row>
    <row r="39" spans="1:16" ht="15" customHeight="1" x14ac:dyDescent="0.2">
      <c r="A39" s="508" t="s">
        <v>207</v>
      </c>
      <c r="B39" s="508"/>
      <c r="C39" s="508"/>
      <c r="D39" s="508"/>
      <c r="E39" s="483">
        <v>940953</v>
      </c>
      <c r="F39" s="136"/>
      <c r="G39" s="125"/>
      <c r="H39" s="138" t="s">
        <v>77</v>
      </c>
      <c r="I39" s="125"/>
      <c r="J39" s="120"/>
      <c r="K39" s="133"/>
    </row>
    <row r="40" spans="1:16" ht="15" customHeight="1" x14ac:dyDescent="0.2">
      <c r="A40" s="508" t="s">
        <v>221</v>
      </c>
      <c r="B40" s="508"/>
      <c r="C40" s="508"/>
      <c r="D40" s="508"/>
      <c r="E40" s="153">
        <v>0.16060419595877801</v>
      </c>
      <c r="F40" s="161"/>
      <c r="G40" s="125"/>
      <c r="H40" s="138" t="s">
        <v>176</v>
      </c>
      <c r="I40" s="125"/>
      <c r="J40" s="120"/>
      <c r="K40" s="133"/>
    </row>
    <row r="41" spans="1:16" s="133" customFormat="1" ht="15" customHeight="1" x14ac:dyDescent="0.2">
      <c r="A41" s="516" t="s">
        <v>103</v>
      </c>
      <c r="B41" s="516"/>
      <c r="C41" s="516"/>
      <c r="D41" s="516"/>
      <c r="E41" s="147">
        <v>0.44999378289882702</v>
      </c>
      <c r="F41" s="161"/>
      <c r="G41" s="149"/>
      <c r="H41" s="138" t="s">
        <v>177</v>
      </c>
      <c r="I41" s="124"/>
      <c r="N41" s="120"/>
      <c r="O41" s="120"/>
    </row>
    <row r="42" spans="1:16" ht="15" customHeight="1" x14ac:dyDescent="0.2">
      <c r="A42" s="521" t="s">
        <v>243</v>
      </c>
      <c r="B42" s="521"/>
      <c r="C42" s="521"/>
      <c r="D42" s="521"/>
      <c r="E42" s="153">
        <v>1018230.5</v>
      </c>
      <c r="F42" s="151"/>
      <c r="G42" s="125"/>
      <c r="H42" s="138" t="s">
        <v>74</v>
      </c>
      <c r="I42" s="125"/>
      <c r="J42" s="120"/>
      <c r="K42" s="133"/>
    </row>
    <row r="43" spans="1:16" ht="15" customHeight="1" x14ac:dyDescent="0.2">
      <c r="A43" s="509" t="s">
        <v>15</v>
      </c>
      <c r="B43" s="509"/>
      <c r="C43" s="509"/>
      <c r="D43" s="509"/>
      <c r="E43" s="153" t="s">
        <v>318</v>
      </c>
      <c r="F43" s="161"/>
      <c r="G43" s="125"/>
      <c r="H43" s="144"/>
      <c r="I43" s="125"/>
      <c r="J43" s="120"/>
      <c r="K43" s="133"/>
      <c r="L43" s="133"/>
      <c r="M43" s="133"/>
      <c r="N43" s="133"/>
      <c r="O43" s="133"/>
      <c r="P43" s="133"/>
    </row>
    <row r="44" spans="1:16" ht="15" customHeight="1" x14ac:dyDescent="0.2">
      <c r="A44" s="516" t="s">
        <v>18</v>
      </c>
      <c r="B44" s="516"/>
      <c r="C44" s="516"/>
      <c r="D44" s="516"/>
      <c r="E44" s="147">
        <v>102097.282764779</v>
      </c>
      <c r="F44" s="161"/>
      <c r="G44" s="125"/>
      <c r="H44" s="138" t="s">
        <v>78</v>
      </c>
      <c r="I44" s="125"/>
      <c r="J44" s="120"/>
      <c r="K44" s="133"/>
      <c r="L44" s="133"/>
      <c r="M44" s="133"/>
      <c r="N44" s="133"/>
      <c r="O44" s="133"/>
      <c r="P44" s="133"/>
    </row>
    <row r="45" spans="1:16" ht="15" customHeight="1" x14ac:dyDescent="0.2">
      <c r="A45" s="527" t="s">
        <v>19</v>
      </c>
      <c r="B45" s="527"/>
      <c r="C45" s="527"/>
      <c r="D45" s="527"/>
      <c r="E45" s="154">
        <v>181.19972999999999</v>
      </c>
      <c r="F45" s="161"/>
      <c r="G45" s="125"/>
      <c r="H45" s="138" t="s">
        <v>79</v>
      </c>
      <c r="I45" s="125"/>
      <c r="J45" s="120"/>
      <c r="K45" s="133"/>
      <c r="L45" s="133"/>
      <c r="M45" s="133"/>
      <c r="N45" s="133"/>
      <c r="O45" s="133"/>
      <c r="P45" s="133"/>
    </row>
    <row r="46" spans="1:16" ht="15" customHeight="1" x14ac:dyDescent="0.2">
      <c r="A46" s="519" t="s">
        <v>52</v>
      </c>
      <c r="B46" s="519"/>
      <c r="C46" s="519"/>
      <c r="D46" s="519"/>
      <c r="E46" s="482">
        <v>18500012</v>
      </c>
      <c r="F46" s="136"/>
      <c r="G46" s="125"/>
      <c r="H46" s="138" t="s">
        <v>182</v>
      </c>
      <c r="I46" s="125"/>
      <c r="K46" s="133"/>
      <c r="L46" s="133"/>
      <c r="M46" s="133"/>
      <c r="N46" s="133"/>
      <c r="O46" s="133"/>
      <c r="P46" s="133"/>
    </row>
    <row r="47" spans="1:16" ht="15" customHeight="1" thickBot="1" x14ac:dyDescent="0.25">
      <c r="A47" s="514" t="s">
        <v>213</v>
      </c>
      <c r="B47" s="514"/>
      <c r="C47" s="514"/>
      <c r="D47" s="514"/>
      <c r="E47" s="156">
        <v>1716433</v>
      </c>
      <c r="F47" s="136"/>
      <c r="G47" s="125"/>
      <c r="H47" s="138" t="s">
        <v>183</v>
      </c>
      <c r="I47" s="125"/>
      <c r="K47" s="133"/>
      <c r="L47" s="133"/>
      <c r="M47" s="133"/>
      <c r="N47" s="133"/>
      <c r="O47" s="133"/>
      <c r="P47" s="133"/>
    </row>
    <row r="48" spans="1:16" ht="15" customHeight="1" x14ac:dyDescent="0.2">
      <c r="A48" s="162"/>
      <c r="B48" s="162"/>
      <c r="C48" s="162"/>
      <c r="D48" s="162"/>
      <c r="E48" s="163"/>
      <c r="F48" s="122"/>
      <c r="G48" s="125"/>
      <c r="H48" s="126"/>
      <c r="I48" s="125"/>
      <c r="L48" s="119"/>
      <c r="M48" s="133"/>
      <c r="N48" s="133"/>
      <c r="O48" s="133"/>
      <c r="P48" s="133"/>
    </row>
    <row r="49" spans="1:16" ht="15" customHeight="1" x14ac:dyDescent="0.2">
      <c r="A49" s="164"/>
      <c r="B49" s="164"/>
      <c r="C49" s="164"/>
      <c r="D49" s="164"/>
      <c r="E49" s="148"/>
      <c r="F49" s="122"/>
      <c r="G49" s="125"/>
      <c r="H49" s="126"/>
      <c r="I49" s="125"/>
      <c r="L49" s="119"/>
      <c r="M49" s="133"/>
      <c r="N49" s="133"/>
      <c r="O49" s="133"/>
      <c r="P49" s="133"/>
    </row>
    <row r="50" spans="1:16" ht="15" customHeight="1" x14ac:dyDescent="0.2">
      <c r="A50" s="164"/>
      <c r="B50" s="164"/>
      <c r="C50" s="164"/>
      <c r="D50" s="164"/>
      <c r="E50" s="148"/>
      <c r="F50" s="122"/>
      <c r="G50" s="125"/>
      <c r="H50" s="126"/>
      <c r="I50" s="125"/>
      <c r="L50" s="119"/>
      <c r="M50" s="133"/>
      <c r="N50" s="133"/>
      <c r="O50" s="133"/>
      <c r="P50" s="133"/>
    </row>
    <row r="51" spans="1:16" ht="15" customHeight="1" thickBot="1" x14ac:dyDescent="0.25">
      <c r="A51" s="510" t="s">
        <v>228</v>
      </c>
      <c r="B51" s="510"/>
      <c r="C51" s="510"/>
      <c r="D51" s="510"/>
      <c r="E51" s="510"/>
      <c r="F51" s="122"/>
      <c r="G51" s="125"/>
      <c r="H51" s="126"/>
      <c r="I51" s="125"/>
      <c r="L51" s="119"/>
      <c r="M51" s="133"/>
      <c r="N51" s="133"/>
      <c r="O51" s="133"/>
      <c r="P51" s="133"/>
    </row>
    <row r="52" spans="1:16" ht="15" customHeight="1" x14ac:dyDescent="0.2">
      <c r="A52" s="520" t="s">
        <v>242</v>
      </c>
      <c r="B52" s="520"/>
      <c r="C52" s="520"/>
      <c r="D52" s="520"/>
      <c r="E52" s="165">
        <v>69679.990000000005</v>
      </c>
      <c r="F52" s="122"/>
      <c r="G52" s="125"/>
      <c r="H52" s="138" t="s">
        <v>165</v>
      </c>
      <c r="I52" s="125"/>
      <c r="K52" s="133"/>
      <c r="L52" s="133"/>
      <c r="M52" s="133"/>
      <c r="N52" s="133"/>
      <c r="O52" s="133"/>
      <c r="P52" s="133"/>
    </row>
    <row r="53" spans="1:16" ht="15" customHeight="1" x14ac:dyDescent="0.2">
      <c r="A53" s="521" t="s">
        <v>15</v>
      </c>
      <c r="B53" s="521"/>
      <c r="C53" s="521"/>
      <c r="D53" s="521"/>
      <c r="E53" s="153" t="s">
        <v>318</v>
      </c>
      <c r="F53" s="136"/>
      <c r="G53" s="125"/>
      <c r="H53" s="144"/>
      <c r="I53" s="125"/>
      <c r="K53" s="133"/>
      <c r="L53" s="133"/>
      <c r="M53" s="133"/>
      <c r="N53" s="133"/>
      <c r="O53" s="133"/>
      <c r="P53" s="133"/>
    </row>
    <row r="54" spans="1:16" ht="15" customHeight="1" x14ac:dyDescent="0.2">
      <c r="A54" s="522" t="s">
        <v>19</v>
      </c>
      <c r="B54" s="522"/>
      <c r="C54" s="522"/>
      <c r="D54" s="522"/>
      <c r="E54" s="154">
        <v>1002.09263</v>
      </c>
      <c r="F54" s="136"/>
      <c r="G54" s="125"/>
      <c r="H54" s="138" t="s">
        <v>166</v>
      </c>
      <c r="I54" s="125"/>
      <c r="K54" s="133"/>
      <c r="L54" s="133"/>
      <c r="M54" s="133"/>
      <c r="N54" s="133"/>
      <c r="O54" s="133"/>
      <c r="P54" s="133"/>
    </row>
    <row r="55" spans="1:16" ht="15" customHeight="1" x14ac:dyDescent="0.2">
      <c r="A55" s="519" t="s">
        <v>20</v>
      </c>
      <c r="B55" s="519"/>
      <c r="C55" s="519"/>
      <c r="D55" s="519"/>
      <c r="E55" s="166">
        <v>70499997</v>
      </c>
      <c r="F55" s="122"/>
      <c r="G55" s="125"/>
      <c r="H55" s="138" t="s">
        <v>86</v>
      </c>
      <c r="I55" s="125"/>
      <c r="K55" s="133"/>
      <c r="L55" s="133"/>
      <c r="M55" s="133"/>
      <c r="N55" s="133"/>
      <c r="O55" s="133"/>
      <c r="P55" s="133"/>
    </row>
    <row r="56" spans="1:16" ht="15" customHeight="1" thickBot="1" x14ac:dyDescent="0.25">
      <c r="A56" s="514" t="s">
        <v>213</v>
      </c>
      <c r="B56" s="514"/>
      <c r="C56" s="514"/>
      <c r="D56" s="514"/>
      <c r="E56" s="167">
        <v>940341</v>
      </c>
      <c r="F56" s="122"/>
      <c r="G56" s="125"/>
      <c r="H56" s="138" t="s">
        <v>184</v>
      </c>
      <c r="I56" s="125"/>
      <c r="K56" s="133"/>
      <c r="L56" s="133"/>
      <c r="M56" s="133"/>
      <c r="N56" s="133"/>
      <c r="O56" s="133"/>
      <c r="P56" s="133"/>
    </row>
    <row r="57" spans="1:16" ht="15" customHeight="1" x14ac:dyDescent="0.2">
      <c r="A57" s="168"/>
      <c r="B57" s="168"/>
      <c r="C57" s="168"/>
      <c r="D57" s="168"/>
      <c r="E57" s="158"/>
      <c r="F57" s="122"/>
      <c r="G57" s="125"/>
      <c r="H57" s="126"/>
      <c r="I57" s="125"/>
      <c r="J57" s="120"/>
      <c r="K57" s="133"/>
      <c r="L57" s="400"/>
      <c r="M57" s="133"/>
      <c r="N57" s="133"/>
      <c r="O57" s="133"/>
      <c r="P57" s="133"/>
    </row>
    <row r="58" spans="1:16" ht="15" customHeight="1" x14ac:dyDescent="0.2">
      <c r="A58" s="123"/>
      <c r="B58" s="123"/>
      <c r="C58" s="123"/>
      <c r="D58" s="123"/>
      <c r="E58" s="155"/>
      <c r="F58" s="122"/>
      <c r="G58" s="125"/>
      <c r="H58" s="126"/>
      <c r="I58" s="125"/>
      <c r="J58" s="120"/>
      <c r="K58" s="133"/>
      <c r="L58" s="400"/>
      <c r="M58" s="133"/>
      <c r="N58" s="133"/>
      <c r="O58" s="133"/>
      <c r="P58" s="133"/>
    </row>
    <row r="59" spans="1:16" ht="15" customHeight="1" x14ac:dyDescent="0.2">
      <c r="A59" s="123"/>
      <c r="B59" s="123"/>
      <c r="C59" s="123"/>
      <c r="D59" s="123"/>
      <c r="E59" s="155"/>
      <c r="F59" s="122"/>
      <c r="G59" s="125"/>
      <c r="H59" s="126"/>
      <c r="I59" s="125"/>
      <c r="J59" s="120"/>
      <c r="K59" s="133"/>
      <c r="L59" s="400"/>
      <c r="M59" s="133"/>
      <c r="N59" s="133"/>
      <c r="O59" s="133"/>
      <c r="P59" s="133"/>
    </row>
    <row r="60" spans="1:16" ht="14.25" thickBot="1" x14ac:dyDescent="0.25">
      <c r="A60" s="510" t="s">
        <v>50</v>
      </c>
      <c r="B60" s="510"/>
      <c r="C60" s="510"/>
      <c r="D60" s="510"/>
      <c r="E60" s="510"/>
      <c r="F60" s="122"/>
      <c r="G60" s="125"/>
      <c r="H60" s="126"/>
      <c r="I60" s="125"/>
      <c r="L60" s="400"/>
      <c r="M60" s="119"/>
      <c r="N60" s="133"/>
      <c r="O60" s="133"/>
      <c r="P60" s="133"/>
    </row>
    <row r="61" spans="1:16" ht="43.5" customHeight="1" x14ac:dyDescent="0.2">
      <c r="A61" s="169"/>
      <c r="B61" s="170"/>
      <c r="C61" s="171" t="s">
        <v>210</v>
      </c>
      <c r="D61" s="171" t="s">
        <v>200</v>
      </c>
      <c r="E61" s="172" t="s">
        <v>269</v>
      </c>
      <c r="F61" s="122"/>
      <c r="G61" s="125"/>
      <c r="H61" s="126"/>
      <c r="I61" s="125"/>
      <c r="L61" s="400"/>
      <c r="M61" s="119"/>
      <c r="N61" s="119"/>
      <c r="O61" s="119"/>
      <c r="P61" s="133"/>
    </row>
    <row r="62" spans="1:16" ht="15" customHeight="1" x14ac:dyDescent="0.2">
      <c r="A62" s="507" t="s">
        <v>211</v>
      </c>
      <c r="B62" s="507"/>
      <c r="C62" s="507"/>
      <c r="D62" s="479">
        <v>2</v>
      </c>
      <c r="E62" s="483">
        <v>72063</v>
      </c>
      <c r="F62" s="136"/>
      <c r="G62" s="125"/>
      <c r="H62" s="138" t="s">
        <v>80</v>
      </c>
      <c r="I62" s="125"/>
      <c r="J62" s="133"/>
      <c r="K62" s="133"/>
      <c r="L62" s="133"/>
      <c r="M62" s="119"/>
      <c r="N62" s="119"/>
      <c r="O62" s="119"/>
      <c r="P62" s="133"/>
    </row>
    <row r="63" spans="1:16" ht="15" customHeight="1" x14ac:dyDescent="0.2">
      <c r="A63" s="517" t="s">
        <v>212</v>
      </c>
      <c r="B63" s="517"/>
      <c r="C63" s="517"/>
      <c r="D63" s="481">
        <v>1</v>
      </c>
      <c r="E63" s="484">
        <v>116215</v>
      </c>
      <c r="F63" s="136"/>
      <c r="G63" s="125"/>
      <c r="H63" s="138" t="s">
        <v>81</v>
      </c>
      <c r="I63" s="125"/>
      <c r="J63" s="133"/>
      <c r="K63" s="133"/>
      <c r="L63" s="133"/>
      <c r="M63" s="119"/>
      <c r="N63" s="119"/>
      <c r="O63" s="119"/>
      <c r="P63" s="133"/>
    </row>
    <row r="64" spans="1:16" ht="15" customHeight="1" x14ac:dyDescent="0.2">
      <c r="A64" s="479"/>
      <c r="B64" s="479"/>
      <c r="C64" s="479"/>
      <c r="D64" s="479"/>
      <c r="E64" s="483"/>
      <c r="F64" s="136"/>
      <c r="G64" s="125"/>
      <c r="H64" s="144"/>
      <c r="I64" s="125"/>
      <c r="J64" s="133"/>
      <c r="K64" s="133"/>
      <c r="L64" s="133"/>
      <c r="M64" s="119"/>
      <c r="N64" s="119"/>
      <c r="O64" s="119"/>
      <c r="P64" s="133"/>
    </row>
    <row r="65" spans="1:18" ht="15" customHeight="1" x14ac:dyDescent="0.2">
      <c r="A65" s="507" t="s">
        <v>104</v>
      </c>
      <c r="B65" s="507"/>
      <c r="C65" s="507"/>
      <c r="D65" s="507"/>
      <c r="E65" s="135">
        <v>260341</v>
      </c>
      <c r="F65" s="136"/>
      <c r="G65" s="125"/>
      <c r="H65" s="138" t="s">
        <v>107</v>
      </c>
      <c r="I65" s="125"/>
      <c r="J65" s="133"/>
      <c r="K65" s="133"/>
      <c r="L65" s="133"/>
      <c r="M65" s="119"/>
      <c r="N65" s="119"/>
      <c r="O65" s="119"/>
      <c r="P65" s="133"/>
    </row>
    <row r="66" spans="1:18" ht="15" customHeight="1" x14ac:dyDescent="0.2">
      <c r="A66" s="508" t="s">
        <v>207</v>
      </c>
      <c r="B66" s="508"/>
      <c r="C66" s="508"/>
      <c r="D66" s="508"/>
      <c r="E66" s="483">
        <v>1255221</v>
      </c>
      <c r="F66" s="136"/>
      <c r="G66" s="125"/>
      <c r="H66" s="138" t="s">
        <v>82</v>
      </c>
      <c r="I66" s="125"/>
      <c r="J66" s="133"/>
      <c r="K66" s="133"/>
      <c r="L66" s="133"/>
      <c r="M66" s="119"/>
      <c r="N66" s="133"/>
      <c r="O66" s="133"/>
      <c r="P66" s="133"/>
    </row>
    <row r="67" spans="1:18" ht="15" customHeight="1" x14ac:dyDescent="0.2">
      <c r="A67" s="515" t="s">
        <v>105</v>
      </c>
      <c r="B67" s="515"/>
      <c r="C67" s="515"/>
      <c r="D67" s="515"/>
      <c r="E67" s="173">
        <v>0.207406504511954</v>
      </c>
      <c r="F67" s="174"/>
      <c r="G67" s="149"/>
      <c r="H67" s="138" t="s">
        <v>178</v>
      </c>
      <c r="I67" s="149"/>
      <c r="J67" s="133"/>
      <c r="K67" s="133"/>
      <c r="M67" s="117"/>
    </row>
    <row r="68" spans="1:18" ht="15" customHeight="1" x14ac:dyDescent="0.2">
      <c r="A68" s="509" t="s">
        <v>241</v>
      </c>
      <c r="B68" s="509"/>
      <c r="C68" s="509"/>
      <c r="D68" s="509"/>
      <c r="E68" s="153">
        <v>1189567.49</v>
      </c>
      <c r="F68" s="136"/>
      <c r="G68" s="125"/>
      <c r="H68" s="138" t="s">
        <v>21</v>
      </c>
      <c r="I68" s="125"/>
      <c r="J68" s="133"/>
      <c r="K68" s="133"/>
      <c r="M68" s="119"/>
      <c r="N68" s="119"/>
      <c r="O68" s="119"/>
      <c r="R68" s="175"/>
    </row>
    <row r="69" spans="1:18" ht="15" customHeight="1" x14ac:dyDescent="0.2">
      <c r="A69" s="509" t="s">
        <v>15</v>
      </c>
      <c r="B69" s="509"/>
      <c r="C69" s="509"/>
      <c r="D69" s="509"/>
      <c r="E69" s="153" t="s">
        <v>318</v>
      </c>
      <c r="F69" s="136"/>
      <c r="G69" s="125"/>
      <c r="H69" s="144"/>
      <c r="I69" s="125"/>
      <c r="J69" s="133"/>
      <c r="K69" s="133"/>
      <c r="L69" s="139"/>
      <c r="M69" s="117"/>
      <c r="N69" s="119"/>
      <c r="O69" s="119"/>
      <c r="R69" s="175"/>
    </row>
    <row r="70" spans="1:18" ht="15" customHeight="1" x14ac:dyDescent="0.2">
      <c r="A70" s="516" t="s">
        <v>18</v>
      </c>
      <c r="B70" s="516"/>
      <c r="C70" s="516"/>
      <c r="D70" s="516"/>
      <c r="E70" s="147">
        <v>249862.20707443799</v>
      </c>
      <c r="F70" s="136"/>
      <c r="G70" s="125"/>
      <c r="H70" s="138" t="s">
        <v>179</v>
      </c>
      <c r="I70" s="125"/>
      <c r="J70" s="144"/>
      <c r="K70" s="133"/>
      <c r="L70" s="139"/>
      <c r="M70" s="117"/>
      <c r="N70" s="119"/>
      <c r="O70" s="119"/>
      <c r="R70" s="175"/>
    </row>
    <row r="71" spans="1:18" ht="15" customHeight="1" x14ac:dyDescent="0.2">
      <c r="A71" s="523" t="s">
        <v>19</v>
      </c>
      <c r="B71" s="523"/>
      <c r="C71" s="523"/>
      <c r="D71" s="523"/>
      <c r="E71" s="153">
        <v>157.58557999999999</v>
      </c>
      <c r="F71" s="136"/>
      <c r="G71" s="125"/>
      <c r="H71" s="138" t="s">
        <v>83</v>
      </c>
      <c r="I71" s="125"/>
      <c r="J71" s="120"/>
      <c r="K71" s="133"/>
    </row>
    <row r="72" spans="1:18" ht="15" customHeight="1" x14ac:dyDescent="0.2">
      <c r="A72" s="524" t="s">
        <v>106</v>
      </c>
      <c r="B72" s="524"/>
      <c r="C72" s="524"/>
      <c r="D72" s="524"/>
      <c r="E72" s="483">
        <v>1000</v>
      </c>
      <c r="F72" s="136"/>
      <c r="G72" s="125"/>
      <c r="H72" s="144"/>
      <c r="L72" s="133"/>
      <c r="M72" s="133"/>
      <c r="N72" s="133"/>
    </row>
    <row r="73" spans="1:18" ht="15" customHeight="1" x14ac:dyDescent="0.2">
      <c r="A73" s="525" t="s">
        <v>249</v>
      </c>
      <c r="B73" s="525"/>
      <c r="C73" s="525"/>
      <c r="D73" s="525"/>
      <c r="E73" s="484">
        <v>39904624</v>
      </c>
      <c r="F73" s="136"/>
      <c r="G73" s="125"/>
      <c r="H73" s="138" t="s">
        <v>185</v>
      </c>
      <c r="I73" s="125"/>
      <c r="J73" s="133"/>
      <c r="K73" s="133"/>
      <c r="L73" s="133"/>
      <c r="M73" s="133"/>
      <c r="N73" s="133"/>
    </row>
    <row r="74" spans="1:18" ht="15" customHeight="1" x14ac:dyDescent="0.2">
      <c r="A74" s="518" t="s">
        <v>20</v>
      </c>
      <c r="B74" s="518"/>
      <c r="C74" s="518"/>
      <c r="D74" s="518"/>
      <c r="E74" s="482">
        <v>39500005</v>
      </c>
      <c r="F74" s="136"/>
      <c r="G74" s="125"/>
      <c r="H74" s="138" t="s">
        <v>87</v>
      </c>
      <c r="I74" s="125"/>
      <c r="K74" s="133"/>
      <c r="L74" s="133"/>
      <c r="M74" s="133"/>
      <c r="N74" s="17"/>
      <c r="O74" s="115"/>
    </row>
    <row r="75" spans="1:18" ht="15" customHeight="1" thickBot="1" x14ac:dyDescent="0.25">
      <c r="A75" s="514" t="s">
        <v>213</v>
      </c>
      <c r="B75" s="514"/>
      <c r="C75" s="514"/>
      <c r="D75" s="514"/>
      <c r="E75" s="156">
        <v>2283028</v>
      </c>
      <c r="F75" s="136"/>
      <c r="G75" s="125"/>
      <c r="H75" s="138" t="s">
        <v>186</v>
      </c>
      <c r="I75" s="125"/>
      <c r="K75" s="133"/>
      <c r="L75" s="133"/>
      <c r="M75" s="133"/>
      <c r="N75" s="133"/>
    </row>
    <row r="76" spans="1:18" ht="15" customHeight="1" x14ac:dyDescent="0.2">
      <c r="A76" s="157"/>
      <c r="B76" s="157"/>
      <c r="C76" s="157"/>
      <c r="D76" s="157"/>
      <c r="E76" s="158"/>
      <c r="F76" s="122"/>
      <c r="G76" s="125"/>
      <c r="H76" s="144"/>
      <c r="I76" s="125"/>
      <c r="J76" s="120"/>
      <c r="K76" s="133"/>
      <c r="L76" s="400"/>
      <c r="M76" s="133"/>
      <c r="N76" s="133"/>
    </row>
    <row r="77" spans="1:18" ht="15" customHeight="1" x14ac:dyDescent="0.2">
      <c r="A77" s="140" t="s">
        <v>260</v>
      </c>
      <c r="B77" s="140"/>
      <c r="C77" s="140"/>
      <c r="D77" s="140"/>
      <c r="E77" s="155"/>
      <c r="F77" s="122"/>
      <c r="G77" s="125"/>
      <c r="H77" s="144"/>
      <c r="I77" s="125"/>
      <c r="J77" s="120"/>
      <c r="K77" s="133"/>
      <c r="L77" s="400"/>
      <c r="M77" s="133"/>
      <c r="N77" s="133"/>
    </row>
    <row r="78" spans="1:18" ht="15" customHeight="1" x14ac:dyDescent="0.2">
      <c r="A78" s="140" t="s">
        <v>278</v>
      </c>
      <c r="B78" s="140"/>
      <c r="C78" s="140"/>
      <c r="D78" s="140"/>
      <c r="E78" s="155"/>
      <c r="F78" s="122"/>
      <c r="G78" s="125"/>
      <c r="H78" s="144"/>
      <c r="I78" s="125"/>
      <c r="J78" s="120"/>
      <c r="K78" s="133"/>
      <c r="L78" s="400"/>
      <c r="M78" s="133"/>
      <c r="N78" s="133"/>
    </row>
    <row r="79" spans="1:18" ht="15" customHeight="1" x14ac:dyDescent="0.2">
      <c r="A79" s="123"/>
      <c r="B79" s="123"/>
      <c r="C79" s="123"/>
      <c r="D79" s="123"/>
      <c r="E79" s="155"/>
      <c r="F79" s="122"/>
      <c r="G79" s="125"/>
      <c r="H79" s="126"/>
      <c r="I79" s="125"/>
      <c r="J79" s="120"/>
      <c r="K79" s="133"/>
      <c r="L79" s="137"/>
    </row>
    <row r="80" spans="1:18" ht="15" hidden="1" customHeight="1" x14ac:dyDescent="0.2">
      <c r="A80" s="123"/>
      <c r="B80" s="123"/>
      <c r="C80" s="123"/>
      <c r="D80" s="123"/>
      <c r="E80" s="176" t="s">
        <v>56</v>
      </c>
      <c r="F80" s="122"/>
      <c r="G80" s="125"/>
      <c r="H80" s="126"/>
      <c r="I80" s="125"/>
      <c r="J80" s="120"/>
      <c r="K80" s="133"/>
      <c r="L80" s="137"/>
    </row>
    <row r="81" spans="1:36" ht="15" customHeight="1" x14ac:dyDescent="0.2">
      <c r="A81" s="123"/>
      <c r="B81" s="123"/>
      <c r="C81" s="123"/>
      <c r="D81" s="123"/>
      <c r="E81" s="155"/>
      <c r="F81" s="122"/>
      <c r="G81" s="125"/>
      <c r="H81" s="126"/>
      <c r="I81" s="125"/>
      <c r="J81" s="120"/>
      <c r="K81" s="133"/>
      <c r="L81" s="137"/>
    </row>
    <row r="82" spans="1:36" ht="15" customHeight="1" x14ac:dyDescent="0.2">
      <c r="A82" s="123"/>
      <c r="B82" s="123"/>
      <c r="C82" s="123"/>
      <c r="D82" s="123"/>
      <c r="E82" s="155"/>
      <c r="F82" s="122"/>
      <c r="G82" s="125"/>
      <c r="H82" s="126"/>
      <c r="I82" s="125"/>
      <c r="J82" s="120"/>
      <c r="K82" s="133"/>
      <c r="L82" s="137"/>
    </row>
    <row r="83" spans="1:36" s="9" customFormat="1" x14ac:dyDescent="0.2">
      <c r="A83" s="115"/>
      <c r="B83" s="115"/>
      <c r="C83" s="115"/>
      <c r="D83" s="115"/>
      <c r="E83" s="115"/>
      <c r="F83" s="115"/>
      <c r="G83" s="177"/>
      <c r="H83" s="178"/>
      <c r="I83" s="177"/>
      <c r="J83" s="177"/>
      <c r="K83" s="44"/>
      <c r="L83" s="177"/>
      <c r="M83" s="177"/>
      <c r="O83" s="115"/>
      <c r="P83" s="115"/>
    </row>
    <row r="84" spans="1:36" x14ac:dyDescent="0.2">
      <c r="A84" s="119"/>
      <c r="B84" s="119"/>
      <c r="C84" s="119"/>
      <c r="D84" s="119"/>
      <c r="H84" s="113"/>
      <c r="L84" s="119"/>
      <c r="AI84" s="9"/>
      <c r="AJ84" s="9"/>
    </row>
    <row r="85" spans="1:36" x14ac:dyDescent="0.2">
      <c r="G85" s="119"/>
      <c r="H85" s="179"/>
      <c r="I85" s="119"/>
      <c r="L85" s="133"/>
      <c r="M85" s="133"/>
      <c r="N85" s="133"/>
      <c r="O85" s="133"/>
      <c r="P85" s="119"/>
      <c r="AG85" s="119"/>
    </row>
    <row r="86" spans="1:36" x14ac:dyDescent="0.2">
      <c r="H86" s="113"/>
      <c r="L86" s="119"/>
      <c r="Y86" s="119"/>
    </row>
    <row r="87" spans="1:36" x14ac:dyDescent="0.2">
      <c r="A87" s="119"/>
      <c r="B87" s="119"/>
      <c r="C87" s="119"/>
      <c r="D87" s="119"/>
      <c r="I87" s="119"/>
    </row>
    <row r="88" spans="1:36" x14ac:dyDescent="0.2">
      <c r="P88" s="119"/>
      <c r="X88" s="119"/>
    </row>
    <row r="89" spans="1:36" x14ac:dyDescent="0.2">
      <c r="I89" s="119"/>
    </row>
    <row r="90" spans="1:36" x14ac:dyDescent="0.2">
      <c r="P90" s="119"/>
      <c r="X90" s="119"/>
    </row>
    <row r="91" spans="1:36" x14ac:dyDescent="0.2">
      <c r="A91" s="119"/>
      <c r="B91" s="119"/>
      <c r="C91" s="119"/>
      <c r="D91" s="119"/>
      <c r="I91" s="119"/>
      <c r="X91" s="119"/>
    </row>
    <row r="92" spans="1:36" x14ac:dyDescent="0.2">
      <c r="A92" s="119"/>
      <c r="B92" s="119"/>
      <c r="C92" s="119"/>
      <c r="D92" s="119"/>
    </row>
    <row r="93" spans="1:36" x14ac:dyDescent="0.2">
      <c r="I93" s="119"/>
      <c r="X93" s="119"/>
    </row>
    <row r="94" spans="1:36" x14ac:dyDescent="0.2">
      <c r="A94" s="119"/>
      <c r="B94" s="119"/>
      <c r="C94" s="119"/>
      <c r="D94" s="119"/>
    </row>
  </sheetData>
  <mergeCells count="42">
    <mergeCell ref="A1:G1"/>
    <mergeCell ref="A71:D71"/>
    <mergeCell ref="A72:D72"/>
    <mergeCell ref="A73:D73"/>
    <mergeCell ref="A27:E27"/>
    <mergeCell ref="A40:D40"/>
    <mergeCell ref="A41:D41"/>
    <mergeCell ref="A42:D42"/>
    <mergeCell ref="A43:D43"/>
    <mergeCell ref="A44:D44"/>
    <mergeCell ref="A45:D45"/>
    <mergeCell ref="A20:D20"/>
    <mergeCell ref="A21:D21"/>
    <mergeCell ref="A22:D22"/>
    <mergeCell ref="A23:D23"/>
    <mergeCell ref="A55:D55"/>
    <mergeCell ref="A56:D56"/>
    <mergeCell ref="A51:E51"/>
    <mergeCell ref="A46:D46"/>
    <mergeCell ref="A47:D47"/>
    <mergeCell ref="A52:D52"/>
    <mergeCell ref="A53:D53"/>
    <mergeCell ref="A54:D54"/>
    <mergeCell ref="A75:D75"/>
    <mergeCell ref="A60:E60"/>
    <mergeCell ref="A65:D65"/>
    <mergeCell ref="A66:D66"/>
    <mergeCell ref="A67:D67"/>
    <mergeCell ref="A68:D68"/>
    <mergeCell ref="A69:D69"/>
    <mergeCell ref="A70:D70"/>
    <mergeCell ref="A62:C62"/>
    <mergeCell ref="A63:C63"/>
    <mergeCell ref="A74:D74"/>
    <mergeCell ref="A38:D38"/>
    <mergeCell ref="A39:D39"/>
    <mergeCell ref="A19:D19"/>
    <mergeCell ref="A4:E4"/>
    <mergeCell ref="A15:D15"/>
    <mergeCell ref="A16:D16"/>
    <mergeCell ref="A17:D17"/>
    <mergeCell ref="A18:D18"/>
  </mergeCells>
  <phoneticPr fontId="4" type="noConversion"/>
  <conditionalFormatting sqref="E6:F23 E29:F47 E52:F56 E62:F75">
    <cfRule type="cellIs" dxfId="8" priority="1" operator="equal">
      <formula>0</formula>
    </cfRule>
  </conditionalFormatting>
  <pageMargins left="0.70866141732283472" right="0.70866141732283472" top="0.74803149606299213" bottom="0.74803149606299213" header="0.31496062992125984" footer="0.31496062992125984"/>
  <pageSetup paperSize="9" scale="71" fitToHeight="2" orientation="landscape" r:id="rId1"/>
  <headerFooter>
    <oddHeader>&amp;CPage &amp;P&amp;R2019-20 Spring individual grant tables.xlsx</oddHeader>
  </headerFooter>
  <rowBreaks count="1" manualBreakCount="1">
    <brk id="3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K12"/>
  <sheetViews>
    <sheetView showGridLines="0" workbookViewId="0">
      <pane xSplit="1" ySplit="6" topLeftCell="B7" activePane="bottomRight" state="frozen"/>
      <selection activeCell="N9" sqref="N9"/>
      <selection pane="topRight" activeCell="N9" sqref="N9"/>
      <selection pane="bottomLeft" activeCell="N9" sqref="N9"/>
      <selection pane="bottomRight" sqref="A1:E1"/>
    </sheetView>
  </sheetViews>
  <sheetFormatPr defaultRowHeight="13.5" x14ac:dyDescent="0.2"/>
  <cols>
    <col min="1" max="1" width="52.28515625" style="9" customWidth="1"/>
    <col min="2" max="2" width="9.85546875" style="9" customWidth="1"/>
    <col min="3" max="3" width="9.140625" style="9"/>
    <col min="4" max="4" width="9.42578125" style="9" customWidth="1"/>
    <col min="5" max="5" width="9.140625" style="9"/>
    <col min="6" max="6" width="14" style="9" customWidth="1"/>
    <col min="7" max="7" width="15.5703125" style="9" customWidth="1"/>
    <col min="8" max="8" width="9.140625" style="9"/>
    <col min="9" max="9" width="11.5703125" style="9" hidden="1" customWidth="1"/>
    <col min="10" max="11" width="9.140625" style="9" customWidth="1"/>
    <col min="12" max="16384" width="9.140625" style="9"/>
  </cols>
  <sheetData>
    <row r="1" spans="1:11" ht="15.75" customHeight="1" x14ac:dyDescent="0.25">
      <c r="A1" s="502" t="str">
        <f>'A Summary'!J8</f>
        <v>Providers registered in the 'Approved (fee cap)' category by 15 April 2019 (UKPRN: ALL)</v>
      </c>
      <c r="B1" s="502"/>
      <c r="C1" s="502"/>
      <c r="D1" s="502"/>
      <c r="E1" s="502"/>
      <c r="G1" s="63"/>
      <c r="K1" s="17"/>
    </row>
    <row r="2" spans="1:11" x14ac:dyDescent="0.2">
      <c r="B2" s="10"/>
      <c r="C2" s="10"/>
      <c r="K2" s="17"/>
    </row>
    <row r="3" spans="1:11" ht="22.5" customHeight="1" thickBot="1" x14ac:dyDescent="0.25">
      <c r="A3" s="64" t="s">
        <v>244</v>
      </c>
      <c r="E3" s="17"/>
      <c r="F3" s="17"/>
      <c r="G3" s="17"/>
      <c r="H3" s="17"/>
      <c r="K3" s="10"/>
    </row>
    <row r="4" spans="1:11" ht="43.5" customHeight="1" x14ac:dyDescent="0.2">
      <c r="A4" s="65"/>
      <c r="B4" s="536" t="s">
        <v>275</v>
      </c>
      <c r="C4" s="537"/>
      <c r="D4" s="537"/>
      <c r="E4" s="538"/>
      <c r="F4" s="539" t="s">
        <v>115</v>
      </c>
      <c r="G4" s="529" t="s">
        <v>116</v>
      </c>
    </row>
    <row r="5" spans="1:11" x14ac:dyDescent="0.2">
      <c r="A5" s="115"/>
      <c r="B5" s="532" t="s">
        <v>219</v>
      </c>
      <c r="C5" s="533"/>
      <c r="D5" s="534" t="s">
        <v>114</v>
      </c>
      <c r="E5" s="535"/>
      <c r="F5" s="540"/>
      <c r="G5" s="530"/>
    </row>
    <row r="6" spans="1:11" ht="27" x14ac:dyDescent="0.2">
      <c r="A6" s="180" t="s">
        <v>111</v>
      </c>
      <c r="B6" s="487" t="s">
        <v>245</v>
      </c>
      <c r="C6" s="486" t="s">
        <v>110</v>
      </c>
      <c r="D6" s="181" t="s">
        <v>245</v>
      </c>
      <c r="E6" s="182" t="s">
        <v>110</v>
      </c>
      <c r="F6" s="541"/>
      <c r="G6" s="531"/>
      <c r="I6" s="183" t="s">
        <v>118</v>
      </c>
    </row>
    <row r="7" spans="1:11" ht="15" customHeight="1" x14ac:dyDescent="0.2">
      <c r="A7" s="184" t="s">
        <v>112</v>
      </c>
      <c r="B7" s="185">
        <v>5362</v>
      </c>
      <c r="C7" s="186">
        <v>50</v>
      </c>
      <c r="D7" s="187">
        <v>2206</v>
      </c>
      <c r="E7" s="188">
        <v>7</v>
      </c>
      <c r="F7" s="185">
        <v>7625</v>
      </c>
      <c r="G7" s="186">
        <v>17651875</v>
      </c>
      <c r="I7" s="27" t="s">
        <v>119</v>
      </c>
    </row>
    <row r="8" spans="1:11" ht="15" customHeight="1" thickBot="1" x14ac:dyDescent="0.25">
      <c r="A8" s="189" t="s">
        <v>113</v>
      </c>
      <c r="B8" s="190">
        <v>5126</v>
      </c>
      <c r="C8" s="191">
        <v>131</v>
      </c>
      <c r="D8" s="424">
        <v>0</v>
      </c>
      <c r="E8" s="425">
        <v>0</v>
      </c>
      <c r="F8" s="190">
        <v>5257</v>
      </c>
      <c r="G8" s="191">
        <v>12169955</v>
      </c>
      <c r="I8" s="27" t="s">
        <v>120</v>
      </c>
    </row>
    <row r="9" spans="1:11" ht="15" customHeight="1" thickTop="1" thickBot="1" x14ac:dyDescent="0.25">
      <c r="A9" s="192" t="s">
        <v>3</v>
      </c>
      <c r="B9" s="193">
        <f>SUM(B7:B8)</f>
        <v>10488</v>
      </c>
      <c r="C9" s="194">
        <f t="shared" ref="C9:G9" si="0">SUM(C7:C8)</f>
        <v>181</v>
      </c>
      <c r="D9" s="195">
        <f>D7</f>
        <v>2206</v>
      </c>
      <c r="E9" s="196">
        <f>E7</f>
        <v>7</v>
      </c>
      <c r="F9" s="193">
        <f t="shared" si="0"/>
        <v>12882</v>
      </c>
      <c r="G9" s="194">
        <f t="shared" si="0"/>
        <v>29821830</v>
      </c>
    </row>
    <row r="11" spans="1:11" hidden="1" x14ac:dyDescent="0.2">
      <c r="A11" s="197" t="s">
        <v>152</v>
      </c>
      <c r="B11" s="114" t="s">
        <v>2</v>
      </c>
      <c r="C11" s="114" t="s">
        <v>2</v>
      </c>
      <c r="D11" s="114" t="s">
        <v>14</v>
      </c>
      <c r="E11" s="114" t="s">
        <v>14</v>
      </c>
      <c r="F11" s="114" t="s">
        <v>153</v>
      </c>
      <c r="G11" s="114" t="s">
        <v>153</v>
      </c>
    </row>
    <row r="12" spans="1:11" hidden="1" x14ac:dyDescent="0.2">
      <c r="B12" s="114" t="s">
        <v>43</v>
      </c>
      <c r="C12" s="114" t="s">
        <v>154</v>
      </c>
      <c r="D12" s="114" t="s">
        <v>43</v>
      </c>
      <c r="E12" s="114" t="s">
        <v>154</v>
      </c>
      <c r="F12" s="114" t="s">
        <v>276</v>
      </c>
      <c r="G12" s="114" t="s">
        <v>277</v>
      </c>
    </row>
  </sheetData>
  <mergeCells count="6">
    <mergeCell ref="G4:G6"/>
    <mergeCell ref="A1:E1"/>
    <mergeCell ref="B5:C5"/>
    <mergeCell ref="D5:E5"/>
    <mergeCell ref="B4:E4"/>
    <mergeCell ref="F4:F6"/>
  </mergeCells>
  <conditionalFormatting sqref="B7:C9 D7:G7 D9:G9 F8:G8">
    <cfRule type="cellIs" dxfId="7"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&amp;CPage &amp;P&amp;R2019-20 Spring individual grant tables.xlsx</oddHeader>
  </headerFooter>
  <ignoredErrors>
    <ignoredError sqref="A2:G2 A5:G5 B3:G3 A7:G9 A6 C6 E6:G6 A4 C4:G4 A1:F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A1:S48"/>
  <sheetViews>
    <sheetView showGridLines="0" zoomScaleNormal="100" workbookViewId="0">
      <pane xSplit="2" ySplit="6" topLeftCell="C7" activePane="bottomRight" state="frozen"/>
      <selection activeCell="N9" sqref="N9"/>
      <selection pane="topRight" activeCell="N9" sqref="N9"/>
      <selection pane="bottomLeft" activeCell="N9" sqref="N9"/>
      <selection pane="bottomRight" sqref="A1:K1"/>
    </sheetView>
  </sheetViews>
  <sheetFormatPr defaultRowHeight="13.5" x14ac:dyDescent="0.2"/>
  <cols>
    <col min="1" max="1" width="28.5703125" style="9" customWidth="1"/>
    <col min="2" max="2" width="12.42578125" style="9" customWidth="1"/>
    <col min="3" max="5" width="11.28515625" style="9" customWidth="1"/>
    <col min="6" max="10" width="11" style="9" customWidth="1"/>
    <col min="11" max="11" width="10.7109375" style="9" customWidth="1"/>
    <col min="12" max="12" width="10.5703125" style="9" customWidth="1"/>
    <col min="13" max="13" width="15.42578125" style="9" customWidth="1"/>
    <col min="14" max="14" width="9.140625" style="9"/>
    <col min="15" max="16" width="11.140625" style="9" hidden="1" customWidth="1"/>
    <col min="17" max="17" width="9.140625" style="9" customWidth="1"/>
    <col min="18" max="18" width="9.140625" style="9" hidden="1" customWidth="1"/>
    <col min="19" max="19" width="0" style="9" hidden="1" customWidth="1"/>
    <col min="20" max="16384" width="9.140625" style="9"/>
  </cols>
  <sheetData>
    <row r="1" spans="1:19" ht="15.75" customHeight="1" x14ac:dyDescent="0.25">
      <c r="A1" s="502" t="str">
        <f>'A Summary'!J8</f>
        <v>Providers registered in the 'Approved (fee cap)' category by 15 April 2019 (UKPRN: ALL)</v>
      </c>
      <c r="B1" s="502"/>
      <c r="C1" s="502"/>
      <c r="D1" s="502"/>
      <c r="E1" s="502"/>
      <c r="F1" s="502"/>
      <c r="G1" s="502"/>
      <c r="H1" s="502"/>
      <c r="I1" s="502"/>
      <c r="J1" s="502"/>
      <c r="K1" s="502"/>
      <c r="M1" s="63"/>
      <c r="R1" s="17"/>
    </row>
    <row r="2" spans="1:19" x14ac:dyDescent="0.2">
      <c r="M2" s="63"/>
      <c r="R2" s="17"/>
    </row>
    <row r="3" spans="1:19" ht="22.5" customHeight="1" thickBot="1" x14ac:dyDescent="0.3">
      <c r="A3" s="64" t="s">
        <v>247</v>
      </c>
      <c r="B3" s="198"/>
      <c r="C3" s="17"/>
      <c r="D3" s="17"/>
      <c r="E3" s="17"/>
      <c r="F3" s="17"/>
      <c r="G3" s="17"/>
      <c r="I3" s="17"/>
      <c r="J3" s="17"/>
      <c r="K3" s="17"/>
      <c r="L3" s="17"/>
      <c r="M3" s="17"/>
      <c r="R3" s="17"/>
    </row>
    <row r="4" spans="1:19" ht="29.25" customHeight="1" x14ac:dyDescent="0.2">
      <c r="A4" s="199"/>
      <c r="B4" s="199"/>
      <c r="C4" s="550" t="s">
        <v>270</v>
      </c>
      <c r="D4" s="551"/>
      <c r="E4" s="551"/>
      <c r="F4" s="551"/>
      <c r="G4" s="551"/>
      <c r="H4" s="552"/>
      <c r="I4" s="553" t="s">
        <v>217</v>
      </c>
      <c r="J4" s="554"/>
      <c r="K4" s="554"/>
      <c r="L4" s="554"/>
      <c r="M4" s="542" t="s">
        <v>188</v>
      </c>
      <c r="R4" s="10" t="s">
        <v>69</v>
      </c>
    </row>
    <row r="5" spans="1:19" ht="26.25" customHeight="1" x14ac:dyDescent="0.2">
      <c r="A5" s="200"/>
      <c r="B5" s="200"/>
      <c r="C5" s="545" t="s">
        <v>222</v>
      </c>
      <c r="D5" s="546"/>
      <c r="E5" s="547"/>
      <c r="F5" s="548" t="s">
        <v>223</v>
      </c>
      <c r="G5" s="549"/>
      <c r="H5" s="547"/>
      <c r="I5" s="555"/>
      <c r="J5" s="556"/>
      <c r="K5" s="556"/>
      <c r="L5" s="556"/>
      <c r="M5" s="543"/>
      <c r="R5" s="9" t="s">
        <v>250</v>
      </c>
    </row>
    <row r="6" spans="1:19" ht="27" x14ac:dyDescent="0.2">
      <c r="A6" s="201" t="s">
        <v>117</v>
      </c>
      <c r="B6" s="202" t="s">
        <v>5</v>
      </c>
      <c r="C6" s="487" t="s">
        <v>128</v>
      </c>
      <c r="D6" s="486" t="s">
        <v>129</v>
      </c>
      <c r="E6" s="182" t="s">
        <v>246</v>
      </c>
      <c r="F6" s="486" t="s">
        <v>128</v>
      </c>
      <c r="G6" s="486" t="s">
        <v>129</v>
      </c>
      <c r="H6" s="182" t="s">
        <v>246</v>
      </c>
      <c r="I6" s="203" t="s">
        <v>128</v>
      </c>
      <c r="J6" s="204" t="s">
        <v>129</v>
      </c>
      <c r="K6" s="204" t="s">
        <v>246</v>
      </c>
      <c r="L6" s="204" t="s">
        <v>3</v>
      </c>
      <c r="M6" s="544"/>
      <c r="O6" s="205" t="s">
        <v>133</v>
      </c>
      <c r="P6" s="205" t="s">
        <v>31</v>
      </c>
      <c r="R6" s="17"/>
    </row>
    <row r="7" spans="1:19" ht="15" customHeight="1" x14ac:dyDescent="0.2">
      <c r="A7" s="206" t="s">
        <v>121</v>
      </c>
      <c r="B7" s="207" t="s">
        <v>6</v>
      </c>
      <c r="C7" s="426">
        <v>0</v>
      </c>
      <c r="D7" s="212">
        <v>49</v>
      </c>
      <c r="E7" s="213">
        <v>75</v>
      </c>
      <c r="F7" s="432">
        <v>0</v>
      </c>
      <c r="G7" s="212">
        <v>0</v>
      </c>
      <c r="H7" s="213">
        <v>1.5</v>
      </c>
      <c r="I7" s="426">
        <v>0</v>
      </c>
      <c r="J7" s="432">
        <v>0</v>
      </c>
      <c r="K7" s="432">
        <v>0</v>
      </c>
      <c r="L7" s="432">
        <v>0</v>
      </c>
      <c r="M7" s="432">
        <v>0</v>
      </c>
      <c r="O7" s="27" t="s">
        <v>134</v>
      </c>
      <c r="P7" s="27" t="s">
        <v>6</v>
      </c>
      <c r="R7" s="17"/>
      <c r="S7" s="17"/>
    </row>
    <row r="8" spans="1:19" ht="15" customHeight="1" x14ac:dyDescent="0.2">
      <c r="A8" s="208"/>
      <c r="B8" s="209" t="str">
        <f>$R$5</f>
        <v>PGT (UG fee)</v>
      </c>
      <c r="C8" s="427">
        <v>0</v>
      </c>
      <c r="D8" s="428">
        <v>0</v>
      </c>
      <c r="E8" s="429">
        <v>0</v>
      </c>
      <c r="F8" s="428">
        <v>0</v>
      </c>
      <c r="G8" s="428">
        <v>0</v>
      </c>
      <c r="H8" s="429">
        <v>0</v>
      </c>
      <c r="I8" s="427">
        <v>0</v>
      </c>
      <c r="J8" s="428">
        <v>0</v>
      </c>
      <c r="K8" s="428">
        <v>0</v>
      </c>
      <c r="L8" s="428">
        <v>0</v>
      </c>
      <c r="M8" s="436">
        <v>0</v>
      </c>
      <c r="O8" s="27" t="s">
        <v>134</v>
      </c>
      <c r="P8" s="27" t="s">
        <v>70</v>
      </c>
      <c r="R8" s="17"/>
      <c r="S8" s="17"/>
    </row>
    <row r="9" spans="1:19" ht="15" customHeight="1" x14ac:dyDescent="0.2">
      <c r="A9" s="210" t="s">
        <v>122</v>
      </c>
      <c r="B9" s="211" t="s">
        <v>6</v>
      </c>
      <c r="C9" s="426">
        <v>0</v>
      </c>
      <c r="D9" s="212">
        <v>186</v>
      </c>
      <c r="E9" s="213">
        <v>146</v>
      </c>
      <c r="F9" s="432">
        <v>0</v>
      </c>
      <c r="G9" s="212">
        <v>0.84</v>
      </c>
      <c r="H9" s="213">
        <v>3.15</v>
      </c>
      <c r="I9" s="426">
        <v>0</v>
      </c>
      <c r="J9" s="432">
        <v>0</v>
      </c>
      <c r="K9" s="432">
        <v>0</v>
      </c>
      <c r="L9" s="432">
        <v>0</v>
      </c>
      <c r="M9" s="437">
        <v>0</v>
      </c>
      <c r="O9" s="27" t="s">
        <v>135</v>
      </c>
      <c r="P9" s="27" t="s">
        <v>6</v>
      </c>
      <c r="R9" s="17"/>
      <c r="S9" s="17"/>
    </row>
    <row r="10" spans="1:19" ht="15" customHeight="1" x14ac:dyDescent="0.2">
      <c r="A10" s="208"/>
      <c r="B10" s="209" t="str">
        <f>$R$5</f>
        <v>PGT (UG fee)</v>
      </c>
      <c r="C10" s="427">
        <v>0</v>
      </c>
      <c r="D10" s="428">
        <v>0</v>
      </c>
      <c r="E10" s="429">
        <v>0</v>
      </c>
      <c r="F10" s="428">
        <v>0</v>
      </c>
      <c r="G10" s="428">
        <v>0</v>
      </c>
      <c r="H10" s="429">
        <v>0</v>
      </c>
      <c r="I10" s="427">
        <v>0</v>
      </c>
      <c r="J10" s="428">
        <v>0</v>
      </c>
      <c r="K10" s="428">
        <v>0</v>
      </c>
      <c r="L10" s="428">
        <v>0</v>
      </c>
      <c r="M10" s="436">
        <v>0</v>
      </c>
      <c r="O10" s="27" t="s">
        <v>135</v>
      </c>
      <c r="P10" s="27" t="s">
        <v>70</v>
      </c>
      <c r="R10" s="17"/>
      <c r="S10" s="17"/>
    </row>
    <row r="11" spans="1:19" ht="15" customHeight="1" x14ac:dyDescent="0.2">
      <c r="A11" s="210" t="s">
        <v>123</v>
      </c>
      <c r="B11" s="211" t="s">
        <v>6</v>
      </c>
      <c r="C11" s="214">
        <v>207</v>
      </c>
      <c r="D11" s="212">
        <v>217</v>
      </c>
      <c r="E11" s="213">
        <v>230</v>
      </c>
      <c r="F11" s="212">
        <v>1.26</v>
      </c>
      <c r="G11" s="212">
        <v>0.4</v>
      </c>
      <c r="H11" s="213">
        <v>0.33</v>
      </c>
      <c r="I11" s="426">
        <v>0</v>
      </c>
      <c r="J11" s="432">
        <v>0</v>
      </c>
      <c r="K11" s="432">
        <v>0</v>
      </c>
      <c r="L11" s="432">
        <v>0</v>
      </c>
      <c r="M11" s="437">
        <v>0</v>
      </c>
      <c r="O11" s="27" t="s">
        <v>136</v>
      </c>
      <c r="P11" s="27" t="s">
        <v>6</v>
      </c>
      <c r="R11" s="17"/>
      <c r="S11" s="17"/>
    </row>
    <row r="12" spans="1:19" ht="15" customHeight="1" x14ac:dyDescent="0.2">
      <c r="A12" s="208"/>
      <c r="B12" s="209" t="str">
        <f>$R$5</f>
        <v>PGT (UG fee)</v>
      </c>
      <c r="C12" s="427">
        <v>0</v>
      </c>
      <c r="D12" s="215">
        <v>64</v>
      </c>
      <c r="E12" s="216">
        <v>92</v>
      </c>
      <c r="F12" s="428">
        <v>0</v>
      </c>
      <c r="G12" s="215">
        <v>0</v>
      </c>
      <c r="H12" s="216">
        <v>0.33</v>
      </c>
      <c r="I12" s="427">
        <v>0</v>
      </c>
      <c r="J12" s="215">
        <v>64</v>
      </c>
      <c r="K12" s="215">
        <v>92.33</v>
      </c>
      <c r="L12" s="215">
        <v>156.33000000000001</v>
      </c>
      <c r="M12" s="217">
        <v>109431</v>
      </c>
      <c r="O12" s="27" t="s">
        <v>136</v>
      </c>
      <c r="P12" s="27" t="s">
        <v>70</v>
      </c>
      <c r="R12" s="17"/>
      <c r="S12" s="17"/>
    </row>
    <row r="13" spans="1:19" ht="15" customHeight="1" x14ac:dyDescent="0.2">
      <c r="A13" s="210" t="s">
        <v>124</v>
      </c>
      <c r="B13" s="211" t="s">
        <v>6</v>
      </c>
      <c r="C13" s="214">
        <v>1686</v>
      </c>
      <c r="D13" s="212">
        <v>1898</v>
      </c>
      <c r="E13" s="213">
        <v>2249</v>
      </c>
      <c r="F13" s="212">
        <v>6.86</v>
      </c>
      <c r="G13" s="212">
        <v>10.74</v>
      </c>
      <c r="H13" s="213">
        <v>0</v>
      </c>
      <c r="I13" s="426">
        <v>0</v>
      </c>
      <c r="J13" s="432">
        <v>0</v>
      </c>
      <c r="K13" s="432">
        <v>0</v>
      </c>
      <c r="L13" s="432">
        <v>0</v>
      </c>
      <c r="M13" s="437">
        <v>0</v>
      </c>
      <c r="O13" s="27" t="s">
        <v>137</v>
      </c>
      <c r="P13" s="27" t="s">
        <v>6</v>
      </c>
      <c r="R13" s="17"/>
      <c r="S13" s="17"/>
    </row>
    <row r="14" spans="1:19" ht="15" customHeight="1" x14ac:dyDescent="0.2">
      <c r="A14" s="208"/>
      <c r="B14" s="209" t="str">
        <f>$R$5</f>
        <v>PGT (UG fee)</v>
      </c>
      <c r="C14" s="427">
        <v>0</v>
      </c>
      <c r="D14" s="215">
        <v>61</v>
      </c>
      <c r="E14" s="216">
        <v>60</v>
      </c>
      <c r="F14" s="428">
        <v>0</v>
      </c>
      <c r="G14" s="215">
        <v>2.33</v>
      </c>
      <c r="H14" s="216">
        <v>2</v>
      </c>
      <c r="I14" s="427">
        <v>0</v>
      </c>
      <c r="J14" s="218">
        <v>63.33</v>
      </c>
      <c r="K14" s="218">
        <v>62</v>
      </c>
      <c r="L14" s="218">
        <v>125.33</v>
      </c>
      <c r="M14" s="219">
        <v>87731</v>
      </c>
      <c r="O14" s="27" t="s">
        <v>137</v>
      </c>
      <c r="P14" s="27" t="s">
        <v>70</v>
      </c>
      <c r="R14" s="17"/>
      <c r="S14" s="17"/>
    </row>
    <row r="15" spans="1:19" ht="15" customHeight="1" x14ac:dyDescent="0.2">
      <c r="A15" s="210" t="s">
        <v>91</v>
      </c>
      <c r="B15" s="211" t="s">
        <v>6</v>
      </c>
      <c r="C15" s="214">
        <v>10265</v>
      </c>
      <c r="D15" s="212">
        <v>9294</v>
      </c>
      <c r="E15" s="213">
        <v>10828.5</v>
      </c>
      <c r="F15" s="212">
        <v>156.59</v>
      </c>
      <c r="G15" s="212">
        <v>110.76</v>
      </c>
      <c r="H15" s="213">
        <v>130.63999999999999</v>
      </c>
      <c r="I15" s="220">
        <v>10421.59</v>
      </c>
      <c r="J15" s="221">
        <v>9404.76</v>
      </c>
      <c r="K15" s="221">
        <v>10959.14</v>
      </c>
      <c r="L15" s="221">
        <v>30785.49</v>
      </c>
      <c r="M15" s="222">
        <v>6157098</v>
      </c>
      <c r="O15" s="27" t="s">
        <v>138</v>
      </c>
      <c r="P15" s="27" t="s">
        <v>6</v>
      </c>
      <c r="R15" s="17"/>
      <c r="S15" s="17"/>
    </row>
    <row r="16" spans="1:19" ht="15" customHeight="1" x14ac:dyDescent="0.2">
      <c r="A16" s="208"/>
      <c r="B16" s="209" t="str">
        <f>$R$5</f>
        <v>PGT (UG fee)</v>
      </c>
      <c r="C16" s="427">
        <v>0</v>
      </c>
      <c r="D16" s="215">
        <v>660</v>
      </c>
      <c r="E16" s="216">
        <v>504</v>
      </c>
      <c r="F16" s="428">
        <v>0</v>
      </c>
      <c r="G16" s="215">
        <v>5.39</v>
      </c>
      <c r="H16" s="216">
        <v>0.65</v>
      </c>
      <c r="I16" s="427">
        <v>0</v>
      </c>
      <c r="J16" s="218">
        <v>665.39</v>
      </c>
      <c r="K16" s="218">
        <v>504.65</v>
      </c>
      <c r="L16" s="218">
        <v>1170.04</v>
      </c>
      <c r="M16" s="219">
        <v>1053036</v>
      </c>
      <c r="O16" s="27" t="s">
        <v>138</v>
      </c>
      <c r="P16" s="27" t="s">
        <v>70</v>
      </c>
      <c r="R16" s="17"/>
      <c r="S16" s="17"/>
    </row>
    <row r="17" spans="1:19" ht="15" customHeight="1" x14ac:dyDescent="0.2">
      <c r="A17" s="210" t="s">
        <v>92</v>
      </c>
      <c r="B17" s="211" t="s">
        <v>6</v>
      </c>
      <c r="C17" s="214">
        <v>1668</v>
      </c>
      <c r="D17" s="212">
        <v>1785.5</v>
      </c>
      <c r="E17" s="213">
        <v>2266</v>
      </c>
      <c r="F17" s="212">
        <v>6.81</v>
      </c>
      <c r="G17" s="212">
        <v>12.3</v>
      </c>
      <c r="H17" s="213">
        <v>7.06</v>
      </c>
      <c r="I17" s="220">
        <v>1674.81</v>
      </c>
      <c r="J17" s="221">
        <v>1797.8</v>
      </c>
      <c r="K17" s="221">
        <v>2273.06</v>
      </c>
      <c r="L17" s="221">
        <v>5745.67</v>
      </c>
      <c r="M17" s="222">
        <v>2298268</v>
      </c>
      <c r="O17" s="27" t="s">
        <v>139</v>
      </c>
      <c r="P17" s="27" t="s">
        <v>6</v>
      </c>
      <c r="R17" s="17"/>
      <c r="S17" s="17"/>
    </row>
    <row r="18" spans="1:19" ht="15" customHeight="1" x14ac:dyDescent="0.2">
      <c r="A18" s="208"/>
      <c r="B18" s="209" t="str">
        <f>$R$5</f>
        <v>PGT (UG fee)</v>
      </c>
      <c r="C18" s="427">
        <v>0</v>
      </c>
      <c r="D18" s="215">
        <v>101</v>
      </c>
      <c r="E18" s="216">
        <v>78.5</v>
      </c>
      <c r="F18" s="428">
        <v>0</v>
      </c>
      <c r="G18" s="215">
        <v>1.21</v>
      </c>
      <c r="H18" s="216">
        <v>0</v>
      </c>
      <c r="I18" s="427">
        <v>0</v>
      </c>
      <c r="J18" s="218">
        <v>102.21</v>
      </c>
      <c r="K18" s="218">
        <v>78.5</v>
      </c>
      <c r="L18" s="218">
        <v>180.71</v>
      </c>
      <c r="M18" s="219">
        <v>198781</v>
      </c>
      <c r="O18" s="27" t="s">
        <v>139</v>
      </c>
      <c r="P18" s="27" t="s">
        <v>70</v>
      </c>
      <c r="R18" s="17"/>
      <c r="S18" s="17"/>
    </row>
    <row r="19" spans="1:19" ht="15" customHeight="1" x14ac:dyDescent="0.2">
      <c r="A19" s="210" t="s">
        <v>98</v>
      </c>
      <c r="B19" s="211" t="s">
        <v>6</v>
      </c>
      <c r="C19" s="214">
        <v>449</v>
      </c>
      <c r="D19" s="212">
        <v>282.5</v>
      </c>
      <c r="E19" s="213">
        <v>324</v>
      </c>
      <c r="F19" s="212">
        <v>1.94</v>
      </c>
      <c r="G19" s="212">
        <v>1.32</v>
      </c>
      <c r="H19" s="213">
        <v>6.63</v>
      </c>
      <c r="I19" s="220">
        <v>450.94</v>
      </c>
      <c r="J19" s="221">
        <v>283.82</v>
      </c>
      <c r="K19" s="221">
        <v>330.63</v>
      </c>
      <c r="L19" s="221">
        <v>1065.3900000000001</v>
      </c>
      <c r="M19" s="222">
        <v>426156</v>
      </c>
      <c r="O19" s="27" t="s">
        <v>140</v>
      </c>
      <c r="P19" s="27" t="s">
        <v>6</v>
      </c>
      <c r="R19" s="17"/>
      <c r="S19" s="17"/>
    </row>
    <row r="20" spans="1:19" ht="15" customHeight="1" x14ac:dyDescent="0.2">
      <c r="A20" s="208"/>
      <c r="B20" s="209" t="str">
        <f>$R$5</f>
        <v>PGT (UG fee)</v>
      </c>
      <c r="C20" s="427">
        <v>0</v>
      </c>
      <c r="D20" s="215">
        <v>30</v>
      </c>
      <c r="E20" s="216">
        <v>34</v>
      </c>
      <c r="F20" s="428">
        <v>0</v>
      </c>
      <c r="G20" s="215">
        <v>0</v>
      </c>
      <c r="H20" s="216">
        <v>0</v>
      </c>
      <c r="I20" s="427">
        <v>0</v>
      </c>
      <c r="J20" s="218">
        <v>30</v>
      </c>
      <c r="K20" s="218">
        <v>34</v>
      </c>
      <c r="L20" s="218">
        <v>64</v>
      </c>
      <c r="M20" s="219">
        <v>70400</v>
      </c>
      <c r="O20" s="27" t="s">
        <v>140</v>
      </c>
      <c r="P20" s="27" t="s">
        <v>70</v>
      </c>
      <c r="R20" s="17"/>
      <c r="S20" s="17"/>
    </row>
    <row r="21" spans="1:19" ht="15" customHeight="1" x14ac:dyDescent="0.2">
      <c r="A21" s="210" t="s">
        <v>93</v>
      </c>
      <c r="B21" s="211" t="s">
        <v>6</v>
      </c>
      <c r="C21" s="214">
        <v>2214</v>
      </c>
      <c r="D21" s="212">
        <v>2111</v>
      </c>
      <c r="E21" s="213">
        <v>2763.5</v>
      </c>
      <c r="F21" s="212">
        <v>55.16</v>
      </c>
      <c r="G21" s="212">
        <v>43.26</v>
      </c>
      <c r="H21" s="213">
        <v>41.93</v>
      </c>
      <c r="I21" s="220">
        <v>2269.16</v>
      </c>
      <c r="J21" s="221">
        <v>2154.2600000000002</v>
      </c>
      <c r="K21" s="221">
        <v>2805.43</v>
      </c>
      <c r="L21" s="221">
        <v>7228.85</v>
      </c>
      <c r="M21" s="222">
        <v>1445770</v>
      </c>
      <c r="O21" s="27" t="s">
        <v>141</v>
      </c>
      <c r="P21" s="27" t="s">
        <v>6</v>
      </c>
      <c r="R21" s="17"/>
      <c r="S21" s="17"/>
    </row>
    <row r="22" spans="1:19" ht="15" customHeight="1" x14ac:dyDescent="0.2">
      <c r="A22" s="208"/>
      <c r="B22" s="209" t="str">
        <f>$R$5</f>
        <v>PGT (UG fee)</v>
      </c>
      <c r="C22" s="427">
        <v>0</v>
      </c>
      <c r="D22" s="215">
        <v>448</v>
      </c>
      <c r="E22" s="216">
        <v>475.5</v>
      </c>
      <c r="F22" s="428">
        <v>0</v>
      </c>
      <c r="G22" s="215">
        <v>1.93</v>
      </c>
      <c r="H22" s="216">
        <v>0</v>
      </c>
      <c r="I22" s="427">
        <v>0</v>
      </c>
      <c r="J22" s="218">
        <v>449.93</v>
      </c>
      <c r="K22" s="218">
        <v>475.5</v>
      </c>
      <c r="L22" s="218">
        <v>925.43</v>
      </c>
      <c r="M22" s="219">
        <v>832887</v>
      </c>
      <c r="O22" s="27" t="s">
        <v>141</v>
      </c>
      <c r="P22" s="27" t="s">
        <v>70</v>
      </c>
      <c r="R22" s="17"/>
      <c r="S22" s="17"/>
    </row>
    <row r="23" spans="1:19" ht="15" customHeight="1" x14ac:dyDescent="0.2">
      <c r="A23" s="223" t="s">
        <v>95</v>
      </c>
      <c r="B23" s="224" t="s">
        <v>6</v>
      </c>
      <c r="C23" s="225">
        <v>0</v>
      </c>
      <c r="D23" s="226">
        <v>0</v>
      </c>
      <c r="E23" s="227">
        <v>134</v>
      </c>
      <c r="F23" s="226">
        <v>0</v>
      </c>
      <c r="G23" s="226">
        <v>0</v>
      </c>
      <c r="H23" s="227">
        <v>0</v>
      </c>
      <c r="I23" s="228">
        <v>0</v>
      </c>
      <c r="J23" s="229">
        <v>0</v>
      </c>
      <c r="K23" s="229">
        <v>134</v>
      </c>
      <c r="L23" s="229">
        <v>134</v>
      </c>
      <c r="M23" s="230">
        <v>26800</v>
      </c>
      <c r="O23" s="27" t="s">
        <v>142</v>
      </c>
      <c r="P23" s="27" t="s">
        <v>6</v>
      </c>
      <c r="R23" s="17"/>
      <c r="S23" s="17"/>
    </row>
    <row r="24" spans="1:19" ht="15" customHeight="1" x14ac:dyDescent="0.2">
      <c r="A24" s="208"/>
      <c r="B24" s="209" t="str">
        <f>$R$5</f>
        <v>PGT (UG fee)</v>
      </c>
      <c r="C24" s="427">
        <v>0</v>
      </c>
      <c r="D24" s="215">
        <v>0</v>
      </c>
      <c r="E24" s="216">
        <v>0</v>
      </c>
      <c r="F24" s="428">
        <v>0</v>
      </c>
      <c r="G24" s="215">
        <v>0</v>
      </c>
      <c r="H24" s="216">
        <v>0</v>
      </c>
      <c r="I24" s="427">
        <v>0</v>
      </c>
      <c r="J24" s="218">
        <v>0</v>
      </c>
      <c r="K24" s="218">
        <v>0</v>
      </c>
      <c r="L24" s="218">
        <v>0</v>
      </c>
      <c r="M24" s="219">
        <v>0</v>
      </c>
      <c r="O24" s="27" t="s">
        <v>142</v>
      </c>
      <c r="P24" s="27" t="s">
        <v>70</v>
      </c>
      <c r="R24" s="17"/>
      <c r="S24" s="17"/>
    </row>
    <row r="25" spans="1:19" ht="15" customHeight="1" x14ac:dyDescent="0.2">
      <c r="A25" s="223" t="s">
        <v>125</v>
      </c>
      <c r="B25" s="224" t="s">
        <v>6</v>
      </c>
      <c r="C25" s="225">
        <v>985</v>
      </c>
      <c r="D25" s="226">
        <v>883</v>
      </c>
      <c r="E25" s="227">
        <v>1035</v>
      </c>
      <c r="F25" s="226">
        <v>56.02</v>
      </c>
      <c r="G25" s="226">
        <v>32.08</v>
      </c>
      <c r="H25" s="227">
        <v>38.96</v>
      </c>
      <c r="I25" s="438">
        <v>0</v>
      </c>
      <c r="J25" s="433">
        <v>0</v>
      </c>
      <c r="K25" s="433">
        <v>0</v>
      </c>
      <c r="L25" s="433">
        <v>0</v>
      </c>
      <c r="M25" s="439">
        <v>0</v>
      </c>
      <c r="O25" s="27" t="s">
        <v>143</v>
      </c>
      <c r="P25" s="27" t="s">
        <v>6</v>
      </c>
      <c r="R25" s="17"/>
      <c r="S25" s="17"/>
    </row>
    <row r="26" spans="1:19" ht="15" customHeight="1" x14ac:dyDescent="0.2">
      <c r="A26" s="208"/>
      <c r="B26" s="209" t="str">
        <f>$R$5</f>
        <v>PGT (UG fee)</v>
      </c>
      <c r="C26" s="427">
        <v>0</v>
      </c>
      <c r="D26" s="215">
        <v>306</v>
      </c>
      <c r="E26" s="216">
        <v>284</v>
      </c>
      <c r="F26" s="428">
        <v>0</v>
      </c>
      <c r="G26" s="215">
        <v>1.91</v>
      </c>
      <c r="H26" s="216">
        <v>0</v>
      </c>
      <c r="I26" s="427">
        <v>0</v>
      </c>
      <c r="J26" s="215">
        <v>307.91000000000003</v>
      </c>
      <c r="K26" s="215">
        <v>284</v>
      </c>
      <c r="L26" s="215">
        <v>591.91</v>
      </c>
      <c r="M26" s="217">
        <v>414337</v>
      </c>
      <c r="O26" s="27" t="s">
        <v>143</v>
      </c>
      <c r="P26" s="27" t="s">
        <v>70</v>
      </c>
      <c r="R26" s="17"/>
      <c r="S26" s="17"/>
    </row>
    <row r="27" spans="1:19" ht="15" customHeight="1" x14ac:dyDescent="0.2">
      <c r="A27" s="223" t="s">
        <v>126</v>
      </c>
      <c r="B27" s="224" t="s">
        <v>6</v>
      </c>
      <c r="C27" s="225">
        <v>396</v>
      </c>
      <c r="D27" s="226">
        <v>581</v>
      </c>
      <c r="E27" s="227">
        <v>789</v>
      </c>
      <c r="F27" s="226">
        <v>10.45</v>
      </c>
      <c r="G27" s="226">
        <v>5.65</v>
      </c>
      <c r="H27" s="227">
        <v>73.33</v>
      </c>
      <c r="I27" s="438">
        <v>0</v>
      </c>
      <c r="J27" s="433">
        <v>0</v>
      </c>
      <c r="K27" s="433">
        <v>0</v>
      </c>
      <c r="L27" s="433">
        <v>0</v>
      </c>
      <c r="M27" s="439">
        <v>0</v>
      </c>
      <c r="O27" s="27" t="s">
        <v>144</v>
      </c>
      <c r="P27" s="27" t="s">
        <v>6</v>
      </c>
      <c r="R27" s="17"/>
      <c r="S27" s="17"/>
    </row>
    <row r="28" spans="1:19" ht="15" customHeight="1" x14ac:dyDescent="0.2">
      <c r="A28" s="208"/>
      <c r="B28" s="209" t="str">
        <f>$R$5</f>
        <v>PGT (UG fee)</v>
      </c>
      <c r="C28" s="427">
        <v>0</v>
      </c>
      <c r="D28" s="215">
        <v>0</v>
      </c>
      <c r="E28" s="216">
        <v>0</v>
      </c>
      <c r="F28" s="428">
        <v>0</v>
      </c>
      <c r="G28" s="215">
        <v>0</v>
      </c>
      <c r="H28" s="216">
        <v>0</v>
      </c>
      <c r="I28" s="427">
        <v>0</v>
      </c>
      <c r="J28" s="215">
        <v>0</v>
      </c>
      <c r="K28" s="215">
        <v>0</v>
      </c>
      <c r="L28" s="215">
        <v>0</v>
      </c>
      <c r="M28" s="217">
        <v>0</v>
      </c>
      <c r="O28" s="27" t="s">
        <v>144</v>
      </c>
      <c r="P28" s="27" t="s">
        <v>70</v>
      </c>
      <c r="R28" s="17"/>
      <c r="S28" s="17"/>
    </row>
    <row r="29" spans="1:19" ht="15" customHeight="1" x14ac:dyDescent="0.2">
      <c r="A29" s="223" t="s">
        <v>100</v>
      </c>
      <c r="B29" s="224" t="s">
        <v>6</v>
      </c>
      <c r="C29" s="225">
        <v>67</v>
      </c>
      <c r="D29" s="226">
        <v>65</v>
      </c>
      <c r="E29" s="227">
        <v>61</v>
      </c>
      <c r="F29" s="226">
        <v>0</v>
      </c>
      <c r="G29" s="226">
        <v>0</v>
      </c>
      <c r="H29" s="227">
        <v>0</v>
      </c>
      <c r="I29" s="228">
        <v>67</v>
      </c>
      <c r="J29" s="229">
        <v>65</v>
      </c>
      <c r="K29" s="229">
        <v>61</v>
      </c>
      <c r="L29" s="229">
        <v>193</v>
      </c>
      <c r="M29" s="230">
        <v>675500</v>
      </c>
      <c r="O29" s="27" t="s">
        <v>145</v>
      </c>
      <c r="P29" s="27" t="s">
        <v>6</v>
      </c>
      <c r="R29" s="17"/>
      <c r="S29" s="17"/>
    </row>
    <row r="30" spans="1:19" ht="15" customHeight="1" x14ac:dyDescent="0.2">
      <c r="A30" s="208"/>
      <c r="B30" s="209" t="str">
        <f>$R$5</f>
        <v>PGT (UG fee)</v>
      </c>
      <c r="C30" s="427">
        <v>0</v>
      </c>
      <c r="D30" s="215">
        <v>0</v>
      </c>
      <c r="E30" s="216">
        <v>0</v>
      </c>
      <c r="F30" s="428">
        <v>0</v>
      </c>
      <c r="G30" s="215">
        <v>0</v>
      </c>
      <c r="H30" s="216">
        <v>0</v>
      </c>
      <c r="I30" s="427">
        <v>0</v>
      </c>
      <c r="J30" s="218">
        <v>0</v>
      </c>
      <c r="K30" s="218">
        <v>0</v>
      </c>
      <c r="L30" s="218">
        <v>0</v>
      </c>
      <c r="M30" s="219">
        <v>0</v>
      </c>
      <c r="O30" s="27" t="s">
        <v>145</v>
      </c>
      <c r="P30" s="27" t="s">
        <v>70</v>
      </c>
      <c r="R30" s="17"/>
      <c r="S30" s="17"/>
    </row>
    <row r="31" spans="1:19" ht="15" customHeight="1" x14ac:dyDescent="0.2">
      <c r="A31" s="223" t="s">
        <v>101</v>
      </c>
      <c r="B31" s="224" t="s">
        <v>6</v>
      </c>
      <c r="C31" s="225">
        <v>31</v>
      </c>
      <c r="D31" s="226">
        <v>24</v>
      </c>
      <c r="E31" s="227">
        <v>33</v>
      </c>
      <c r="F31" s="226">
        <v>0</v>
      </c>
      <c r="G31" s="226">
        <v>0</v>
      </c>
      <c r="H31" s="227">
        <v>0</v>
      </c>
      <c r="I31" s="228">
        <v>31</v>
      </c>
      <c r="J31" s="229">
        <v>24</v>
      </c>
      <c r="K31" s="229">
        <v>33</v>
      </c>
      <c r="L31" s="229">
        <v>88</v>
      </c>
      <c r="M31" s="230">
        <v>308000</v>
      </c>
      <c r="O31" s="27" t="s">
        <v>146</v>
      </c>
      <c r="P31" s="27" t="s">
        <v>6</v>
      </c>
      <c r="R31" s="17"/>
      <c r="S31" s="17"/>
    </row>
    <row r="32" spans="1:19" ht="15" customHeight="1" x14ac:dyDescent="0.2">
      <c r="A32" s="208"/>
      <c r="B32" s="209" t="str">
        <f>$R$5</f>
        <v>PGT (UG fee)</v>
      </c>
      <c r="C32" s="427">
        <v>0</v>
      </c>
      <c r="D32" s="215">
        <v>0</v>
      </c>
      <c r="E32" s="216">
        <v>0</v>
      </c>
      <c r="F32" s="428">
        <v>0</v>
      </c>
      <c r="G32" s="215">
        <v>0</v>
      </c>
      <c r="H32" s="216">
        <v>0</v>
      </c>
      <c r="I32" s="427">
        <v>0</v>
      </c>
      <c r="J32" s="218">
        <v>0</v>
      </c>
      <c r="K32" s="218">
        <v>0</v>
      </c>
      <c r="L32" s="218">
        <v>0</v>
      </c>
      <c r="M32" s="219">
        <v>0</v>
      </c>
      <c r="O32" s="27" t="s">
        <v>146</v>
      </c>
      <c r="P32" s="27" t="s">
        <v>70</v>
      </c>
      <c r="R32" s="17"/>
      <c r="S32" s="17"/>
    </row>
    <row r="33" spans="1:19" ht="15" customHeight="1" x14ac:dyDescent="0.2">
      <c r="A33" s="223" t="s">
        <v>127</v>
      </c>
      <c r="B33" s="224" t="s">
        <v>6</v>
      </c>
      <c r="C33" s="225">
        <v>1224</v>
      </c>
      <c r="D33" s="226">
        <v>1412</v>
      </c>
      <c r="E33" s="227">
        <v>1653</v>
      </c>
      <c r="F33" s="225">
        <v>27.73</v>
      </c>
      <c r="G33" s="226">
        <v>23.43</v>
      </c>
      <c r="H33" s="227">
        <v>23.77</v>
      </c>
      <c r="I33" s="438">
        <v>0</v>
      </c>
      <c r="J33" s="433">
        <v>0</v>
      </c>
      <c r="K33" s="433">
        <v>0</v>
      </c>
      <c r="L33" s="433">
        <v>0</v>
      </c>
      <c r="M33" s="439">
        <v>0</v>
      </c>
      <c r="O33" s="27" t="s">
        <v>147</v>
      </c>
      <c r="P33" s="27" t="s">
        <v>6</v>
      </c>
      <c r="R33" s="17"/>
      <c r="S33" s="17"/>
    </row>
    <row r="34" spans="1:19" ht="15" customHeight="1" x14ac:dyDescent="0.2">
      <c r="A34" s="208"/>
      <c r="B34" s="209" t="str">
        <f>$R$5</f>
        <v>PGT (UG fee)</v>
      </c>
      <c r="C34" s="427">
        <v>0</v>
      </c>
      <c r="D34" s="215">
        <v>325</v>
      </c>
      <c r="E34" s="216">
        <v>378</v>
      </c>
      <c r="F34" s="428">
        <v>0</v>
      </c>
      <c r="G34" s="215">
        <v>0</v>
      </c>
      <c r="H34" s="216">
        <v>0</v>
      </c>
      <c r="I34" s="427">
        <v>0</v>
      </c>
      <c r="J34" s="215">
        <v>325</v>
      </c>
      <c r="K34" s="215">
        <v>378</v>
      </c>
      <c r="L34" s="215">
        <v>703</v>
      </c>
      <c r="M34" s="217">
        <v>492100</v>
      </c>
      <c r="O34" s="27" t="s">
        <v>147</v>
      </c>
      <c r="P34" s="27" t="s">
        <v>70</v>
      </c>
      <c r="R34" s="17"/>
      <c r="S34" s="17"/>
    </row>
    <row r="35" spans="1:19" ht="15" customHeight="1" x14ac:dyDescent="0.2">
      <c r="A35" s="223" t="s">
        <v>99</v>
      </c>
      <c r="B35" s="224" t="s">
        <v>6</v>
      </c>
      <c r="C35" s="228">
        <v>212</v>
      </c>
      <c r="D35" s="226">
        <v>162</v>
      </c>
      <c r="E35" s="231">
        <v>153</v>
      </c>
      <c r="F35" s="229">
        <v>6.48</v>
      </c>
      <c r="G35" s="226">
        <v>3.87</v>
      </c>
      <c r="H35" s="231">
        <v>0.57999999999999996</v>
      </c>
      <c r="I35" s="228">
        <v>218.48</v>
      </c>
      <c r="J35" s="229">
        <v>165.87</v>
      </c>
      <c r="K35" s="229">
        <v>153.58000000000001</v>
      </c>
      <c r="L35" s="229">
        <v>537.92999999999995</v>
      </c>
      <c r="M35" s="230">
        <v>645516</v>
      </c>
      <c r="O35" s="27" t="s">
        <v>148</v>
      </c>
      <c r="P35" s="27" t="s">
        <v>6</v>
      </c>
      <c r="R35" s="17"/>
    </row>
    <row r="36" spans="1:19" ht="15" customHeight="1" x14ac:dyDescent="0.2">
      <c r="A36" s="208"/>
      <c r="B36" s="209" t="str">
        <f>$R$5</f>
        <v>PGT (UG fee)</v>
      </c>
      <c r="C36" s="427">
        <v>0</v>
      </c>
      <c r="D36" s="215">
        <v>8</v>
      </c>
      <c r="E36" s="232">
        <v>6</v>
      </c>
      <c r="F36" s="428">
        <v>0</v>
      </c>
      <c r="G36" s="215">
        <v>0</v>
      </c>
      <c r="H36" s="232">
        <v>0</v>
      </c>
      <c r="I36" s="427">
        <v>0</v>
      </c>
      <c r="J36" s="218">
        <v>8</v>
      </c>
      <c r="K36" s="218">
        <v>6</v>
      </c>
      <c r="L36" s="218">
        <v>14</v>
      </c>
      <c r="M36" s="219">
        <v>26600</v>
      </c>
      <c r="O36" s="27" t="s">
        <v>148</v>
      </c>
      <c r="P36" s="27" t="s">
        <v>70</v>
      </c>
      <c r="R36" s="17"/>
    </row>
    <row r="37" spans="1:19" ht="15" customHeight="1" x14ac:dyDescent="0.2">
      <c r="A37" s="223" t="s">
        <v>94</v>
      </c>
      <c r="B37" s="224" t="s">
        <v>6</v>
      </c>
      <c r="C37" s="228">
        <v>917</v>
      </c>
      <c r="D37" s="226">
        <v>958</v>
      </c>
      <c r="E37" s="231">
        <v>1083</v>
      </c>
      <c r="F37" s="229">
        <v>2.6</v>
      </c>
      <c r="G37" s="226">
        <v>4.67</v>
      </c>
      <c r="H37" s="231">
        <v>1.87</v>
      </c>
      <c r="I37" s="228">
        <v>919.6</v>
      </c>
      <c r="J37" s="229">
        <v>962.67</v>
      </c>
      <c r="K37" s="229">
        <v>1084.8699999999999</v>
      </c>
      <c r="L37" s="229">
        <v>2967.14</v>
      </c>
      <c r="M37" s="230">
        <v>3560568</v>
      </c>
      <c r="O37" s="27" t="s">
        <v>149</v>
      </c>
      <c r="P37" s="27" t="s">
        <v>6</v>
      </c>
      <c r="R37" s="17"/>
    </row>
    <row r="38" spans="1:19" ht="15" customHeight="1" x14ac:dyDescent="0.2">
      <c r="A38" s="208"/>
      <c r="B38" s="209" t="str">
        <f>$R$5</f>
        <v>PGT (UG fee)</v>
      </c>
      <c r="C38" s="427">
        <v>0</v>
      </c>
      <c r="D38" s="215">
        <v>29</v>
      </c>
      <c r="E38" s="232">
        <v>24</v>
      </c>
      <c r="F38" s="428">
        <v>0</v>
      </c>
      <c r="G38" s="215">
        <v>0</v>
      </c>
      <c r="H38" s="232">
        <v>0</v>
      </c>
      <c r="I38" s="427">
        <v>0</v>
      </c>
      <c r="J38" s="218">
        <v>29</v>
      </c>
      <c r="K38" s="218">
        <v>24</v>
      </c>
      <c r="L38" s="218">
        <v>53</v>
      </c>
      <c r="M38" s="219">
        <v>100700</v>
      </c>
      <c r="O38" s="27" t="s">
        <v>149</v>
      </c>
      <c r="P38" s="27" t="s">
        <v>70</v>
      </c>
      <c r="R38" s="17"/>
    </row>
    <row r="39" spans="1:19" ht="15" customHeight="1" x14ac:dyDescent="0.2">
      <c r="A39" s="223" t="s">
        <v>96</v>
      </c>
      <c r="B39" s="224" t="s">
        <v>6</v>
      </c>
      <c r="C39" s="228">
        <v>227</v>
      </c>
      <c r="D39" s="226">
        <v>186</v>
      </c>
      <c r="E39" s="231">
        <v>217</v>
      </c>
      <c r="F39" s="229">
        <v>1.65</v>
      </c>
      <c r="G39" s="226">
        <v>2.63</v>
      </c>
      <c r="H39" s="231">
        <v>0</v>
      </c>
      <c r="I39" s="228">
        <v>210.65</v>
      </c>
      <c r="J39" s="229">
        <v>180.63</v>
      </c>
      <c r="K39" s="229">
        <v>217</v>
      </c>
      <c r="L39" s="229">
        <v>608.28</v>
      </c>
      <c r="M39" s="230">
        <v>729936</v>
      </c>
      <c r="O39" s="27" t="s">
        <v>150</v>
      </c>
      <c r="P39" s="27" t="s">
        <v>6</v>
      </c>
      <c r="R39" s="17"/>
    </row>
    <row r="40" spans="1:19" ht="15" customHeight="1" x14ac:dyDescent="0.2">
      <c r="A40" s="210"/>
      <c r="B40" s="211" t="str">
        <f>$R$5</f>
        <v>PGT (UG fee)</v>
      </c>
      <c r="C40" s="430">
        <v>0</v>
      </c>
      <c r="D40" s="381">
        <v>39</v>
      </c>
      <c r="E40" s="234">
        <v>37</v>
      </c>
      <c r="F40" s="434">
        <v>0</v>
      </c>
      <c r="G40" s="381">
        <v>0.3</v>
      </c>
      <c r="H40" s="234">
        <v>0</v>
      </c>
      <c r="I40" s="430">
        <v>0</v>
      </c>
      <c r="J40" s="233">
        <v>39.299999999999997</v>
      </c>
      <c r="K40" s="233">
        <v>37</v>
      </c>
      <c r="L40" s="233">
        <v>76.3</v>
      </c>
      <c r="M40" s="235">
        <v>144970</v>
      </c>
      <c r="O40" s="27" t="s">
        <v>150</v>
      </c>
      <c r="P40" s="27" t="s">
        <v>70</v>
      </c>
      <c r="R40" s="17"/>
    </row>
    <row r="41" spans="1:19" ht="15" customHeight="1" x14ac:dyDescent="0.2">
      <c r="A41" s="223" t="s">
        <v>97</v>
      </c>
      <c r="B41" s="224" t="s">
        <v>6</v>
      </c>
      <c r="C41" s="228">
        <v>312</v>
      </c>
      <c r="D41" s="226">
        <v>371</v>
      </c>
      <c r="E41" s="231">
        <v>409</v>
      </c>
      <c r="F41" s="229">
        <v>7.3</v>
      </c>
      <c r="G41" s="226">
        <v>2.04</v>
      </c>
      <c r="H41" s="231">
        <v>5.58</v>
      </c>
      <c r="I41" s="228">
        <v>319.3</v>
      </c>
      <c r="J41" s="229">
        <v>373.04</v>
      </c>
      <c r="K41" s="229">
        <v>414.58</v>
      </c>
      <c r="L41" s="229">
        <v>1106.92</v>
      </c>
      <c r="M41" s="230">
        <v>221384</v>
      </c>
      <c r="O41" s="27" t="s">
        <v>151</v>
      </c>
      <c r="P41" s="27" t="s">
        <v>6</v>
      </c>
      <c r="R41" s="17"/>
    </row>
    <row r="42" spans="1:19" ht="15" customHeight="1" thickBot="1" x14ac:dyDescent="0.25">
      <c r="A42" s="210"/>
      <c r="B42" s="211" t="str">
        <f>$R$5</f>
        <v>PGT (UG fee)</v>
      </c>
      <c r="C42" s="430">
        <v>0</v>
      </c>
      <c r="D42" s="381">
        <v>205</v>
      </c>
      <c r="E42" s="234">
        <v>253</v>
      </c>
      <c r="F42" s="434">
        <v>0</v>
      </c>
      <c r="G42" s="381">
        <v>2.8</v>
      </c>
      <c r="H42" s="234">
        <v>0</v>
      </c>
      <c r="I42" s="430">
        <v>0</v>
      </c>
      <c r="J42" s="233">
        <v>207.8</v>
      </c>
      <c r="K42" s="233">
        <v>253</v>
      </c>
      <c r="L42" s="233">
        <v>460.8</v>
      </c>
      <c r="M42" s="235">
        <v>414720</v>
      </c>
      <c r="O42" s="27" t="s">
        <v>151</v>
      </c>
      <c r="P42" s="27" t="s">
        <v>70</v>
      </c>
      <c r="R42" s="17"/>
    </row>
    <row r="43" spans="1:19" ht="15" customHeight="1" thickTop="1" x14ac:dyDescent="0.2">
      <c r="A43" s="236" t="s">
        <v>3</v>
      </c>
      <c r="B43" s="237" t="s">
        <v>6</v>
      </c>
      <c r="C43" s="238">
        <f>SUM(C7,C9,C11,C13,C15,C17,C19,C21,C23,C25,C27,C29,C31,C33,C35,C37,C39,C41)</f>
        <v>20860</v>
      </c>
      <c r="D43" s="239">
        <f t="shared" ref="D43:H43" si="0">SUM(D7,D9,D11,D13,D15,D17,D19,D21,D23,D25,D27,D29,D31,D33,D35,D37,D39,D41)</f>
        <v>20465</v>
      </c>
      <c r="E43" s="240">
        <f t="shared" si="0"/>
        <v>24449</v>
      </c>
      <c r="F43" s="239">
        <f t="shared" si="0"/>
        <v>340.85</v>
      </c>
      <c r="G43" s="239">
        <f t="shared" si="0"/>
        <v>253.98999999999998</v>
      </c>
      <c r="H43" s="240">
        <f t="shared" si="0"/>
        <v>335.32999999999993</v>
      </c>
      <c r="I43" s="238">
        <f>SUM(I15,I17,I19,I21,I23,I29,I31,I35,I37,I39,I41)</f>
        <v>16582.53</v>
      </c>
      <c r="J43" s="239">
        <f>SUM(J15,J17,J19,J21,J23,J29,J31,J35,J37,J39,J41)</f>
        <v>15411.85</v>
      </c>
      <c r="K43" s="239">
        <f>SUM(K15,K17,K19,K21,K23,K29,K31,K35,K37,K39,K41)</f>
        <v>18466.29</v>
      </c>
      <c r="L43" s="239">
        <f>SUM(L15,L17,L19,L21,L23,L29,L31,L35,L37,L39,L41)</f>
        <v>50460.67</v>
      </c>
      <c r="M43" s="241">
        <f>SUM(M15,M17,M19,M21,M23,M29,M31,M35,M37,M39,M41)</f>
        <v>16494996</v>
      </c>
      <c r="R43" s="17"/>
    </row>
    <row r="44" spans="1:19" ht="15" customHeight="1" x14ac:dyDescent="0.2">
      <c r="A44" s="242"/>
      <c r="B44" s="380" t="str">
        <f>$R$5</f>
        <v>PGT (UG fee)</v>
      </c>
      <c r="C44" s="431"/>
      <c r="D44" s="382">
        <f t="shared" ref="D44:H44" si="1">SUM(D8,D10,D12,D14,D16,D18,D20,D22,D24,D26,D28,D30,D32,D34,D36,D38,D40,D42)</f>
        <v>2276</v>
      </c>
      <c r="E44" s="244">
        <f t="shared" si="1"/>
        <v>2226</v>
      </c>
      <c r="F44" s="435"/>
      <c r="G44" s="382">
        <f t="shared" si="1"/>
        <v>15.870000000000001</v>
      </c>
      <c r="H44" s="244">
        <f t="shared" si="1"/>
        <v>2.98</v>
      </c>
      <c r="I44" s="435"/>
      <c r="J44" s="382">
        <f>SUM(J12,J14,J16,J18,J20,J22,J24,J26,J28,J30,J32,J34,J36,J38,J40,J42)</f>
        <v>2291.8700000000003</v>
      </c>
      <c r="K44" s="382">
        <f>SUM(K12,K14,K16,K18,K20,K22,K24,K26,K28,K30,K32,K34,K36,K38,K40,K42)</f>
        <v>2228.98</v>
      </c>
      <c r="L44" s="243">
        <f>SUM(L12,L14,L16,L18,L20,L22,L24,L26,L28,L30,L32,L34,L36,L38,L40,L42)</f>
        <v>4520.8500000000004</v>
      </c>
      <c r="M44" s="245">
        <f>SUM(M12,M14,M16,M18,M20,M22,M24,M26,M28,M30,M32,M34,M36,M38,M40,M42)</f>
        <v>3945693</v>
      </c>
      <c r="R44" s="17"/>
    </row>
    <row r="45" spans="1:19" ht="15" customHeight="1" thickBot="1" x14ac:dyDescent="0.25">
      <c r="A45" s="246"/>
      <c r="B45" s="247" t="s">
        <v>4</v>
      </c>
      <c r="C45" s="248">
        <f>SUM(C7:C42)</f>
        <v>20860</v>
      </c>
      <c r="D45" s="249">
        <f t="shared" ref="D45:H45" si="2">SUM(D7:D42)</f>
        <v>22741</v>
      </c>
      <c r="E45" s="250">
        <f t="shared" si="2"/>
        <v>26675</v>
      </c>
      <c r="F45" s="249">
        <f t="shared" si="2"/>
        <v>340.85</v>
      </c>
      <c r="G45" s="249">
        <f t="shared" si="2"/>
        <v>269.86000000000007</v>
      </c>
      <c r="H45" s="250">
        <f t="shared" si="2"/>
        <v>338.30999999999995</v>
      </c>
      <c r="I45" s="248">
        <f>I43</f>
        <v>16582.53</v>
      </c>
      <c r="J45" s="249">
        <f>SUM(J43:J44)</f>
        <v>17703.72</v>
      </c>
      <c r="K45" s="249">
        <f>SUM(K43:K44)</f>
        <v>20695.27</v>
      </c>
      <c r="L45" s="249">
        <f>SUM(L43:L44)</f>
        <v>54981.52</v>
      </c>
      <c r="M45" s="494">
        <f>SUM(M43:M44)</f>
        <v>20440689</v>
      </c>
      <c r="R45" s="17"/>
    </row>
    <row r="47" spans="1:19" hidden="1" x14ac:dyDescent="0.2">
      <c r="A47" s="22" t="s">
        <v>152</v>
      </c>
      <c r="B47" s="22"/>
      <c r="C47" s="27" t="s">
        <v>2</v>
      </c>
      <c r="D47" s="27" t="s">
        <v>2</v>
      </c>
      <c r="E47" s="27" t="s">
        <v>2</v>
      </c>
      <c r="F47" s="27" t="s">
        <v>1</v>
      </c>
      <c r="G47" s="27" t="s">
        <v>1</v>
      </c>
      <c r="H47" s="27" t="s">
        <v>1</v>
      </c>
      <c r="I47" s="27" t="s">
        <v>153</v>
      </c>
      <c r="J47" s="27" t="s">
        <v>153</v>
      </c>
      <c r="K47" s="27" t="s">
        <v>153</v>
      </c>
      <c r="L47" s="27" t="s">
        <v>153</v>
      </c>
      <c r="M47" s="27" t="s">
        <v>153</v>
      </c>
    </row>
    <row r="48" spans="1:19" hidden="1" x14ac:dyDescent="0.2">
      <c r="C48" s="27" t="s">
        <v>292</v>
      </c>
      <c r="D48" s="27" t="s">
        <v>293</v>
      </c>
      <c r="E48" s="27" t="s">
        <v>294</v>
      </c>
      <c r="F48" s="27" t="s">
        <v>292</v>
      </c>
      <c r="G48" s="27" t="s">
        <v>293</v>
      </c>
      <c r="H48" s="27" t="s">
        <v>294</v>
      </c>
      <c r="I48" s="27" t="s">
        <v>130</v>
      </c>
      <c r="J48" s="27" t="s">
        <v>131</v>
      </c>
      <c r="K48" s="27" t="s">
        <v>262</v>
      </c>
      <c r="L48" s="27" t="s">
        <v>295</v>
      </c>
      <c r="M48" s="27" t="s">
        <v>291</v>
      </c>
    </row>
  </sheetData>
  <mergeCells count="6">
    <mergeCell ref="A1:K1"/>
    <mergeCell ref="M4:M6"/>
    <mergeCell ref="C5:E5"/>
    <mergeCell ref="F5:H5"/>
    <mergeCell ref="C4:H4"/>
    <mergeCell ref="I4:L5"/>
  </mergeCells>
  <conditionalFormatting sqref="I7:M11 I12:I14 J13:M13 I16 I18 I20 I22 I24:I28 J27:M27 J25:M25 I30 I32:I34 J33:M33 I36 I38 I40 I42 I44 F9 F7 C8:H8 C7 C9 C10:H10 C12 F12 C14 F14 C16 F16 C18 F18 C20 F20 C22 F22 C24 F24 C26 F26 C28 F28 C30 F30 C32 F32 C34 F34 C36 F36 C38 F38 C40 F40 C42 F42 C44 F44">
    <cfRule type="cellIs" dxfId="6" priority="3" operator="equal">
      <formula>0</formula>
    </cfRule>
  </conditionalFormatting>
  <conditionalFormatting sqref="C11 C13 C15 C17 C19 C21 C23 C25 C27 C29 C31 C33 C35 C37 C39 C41 C43 C45 D11:E45 D9:E9 D7:E7 G7:H7 G9:H9 F11:H11 F13 F15 F17 F19 F21 F23 F25 F27 F29 F31 F33 F35 F37 F39 F41 F43 F45 G12:H45 J12:M12 I15 I17 I19 I21 I23 I29 I31 I35 I37 I39 I41 I43 I45 J14:M24 J26:M26 J28:M32 J34:M45">
    <cfRule type="cellIs" dxfId="5" priority="1"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oddHeader>&amp;CPage &amp;P&amp;R2019-20 Spring individual grant tables.xlsx</oddHeader>
  </headerFooter>
  <ignoredErrors>
    <ignoredError sqref="K2:M5 L1 A2:C2 F2:F6 H2:I5 E2:E5 E10 H10:I42 I6 K8:M8 L6:M6 F10:F32 I7:I9 A45:B45 A43:B44 A4:B4 B3:C3 A6:C42 A5:B5 K10:M42 F34:F4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39997558519241921"/>
    <pageSetUpPr fitToPage="1"/>
  </sheetPr>
  <dimension ref="A1:L16"/>
  <sheetViews>
    <sheetView showGridLines="0" workbookViewId="0"/>
  </sheetViews>
  <sheetFormatPr defaultRowHeight="12.75" x14ac:dyDescent="0.2"/>
  <cols>
    <col min="1" max="1" width="20.85546875" style="477" customWidth="1"/>
    <col min="2" max="2" width="36.28515625" style="477" customWidth="1"/>
    <col min="3" max="3" width="25.140625" style="477" customWidth="1"/>
    <col min="4" max="4" width="5.85546875" style="477" customWidth="1"/>
    <col min="5" max="5" width="17.5703125" style="477" hidden="1" customWidth="1"/>
    <col min="6" max="16384" width="9.140625" style="477"/>
  </cols>
  <sheetData>
    <row r="1" spans="1:12" ht="15" x14ac:dyDescent="0.25">
      <c r="A1" s="389" t="str">
        <f>TABLEA</f>
        <v>Providers registered in the 'Approved (fee cap)' category by 15 April 2019 (UKPRN: ALL)</v>
      </c>
      <c r="B1" s="389"/>
      <c r="C1" s="389"/>
      <c r="D1" s="389"/>
      <c r="F1" s="389"/>
      <c r="G1" s="389"/>
      <c r="H1" s="389"/>
      <c r="I1" s="389"/>
      <c r="J1" s="389"/>
      <c r="K1" s="389"/>
      <c r="L1" s="389"/>
    </row>
    <row r="3" spans="1:12" ht="15.75" x14ac:dyDescent="0.2">
      <c r="A3" s="64" t="s">
        <v>296</v>
      </c>
    </row>
    <row r="4" spans="1:12" x14ac:dyDescent="0.2">
      <c r="C4" s="490"/>
      <c r="D4" s="490"/>
      <c r="E4" s="491"/>
    </row>
    <row r="5" spans="1:12" ht="52.5" customHeight="1" thickBot="1" x14ac:dyDescent="0.25">
      <c r="A5" s="510" t="s">
        <v>312</v>
      </c>
      <c r="B5" s="510"/>
      <c r="C5" s="391"/>
      <c r="D5" s="390"/>
      <c r="E5" s="131" t="s">
        <v>57</v>
      </c>
    </row>
    <row r="6" spans="1:12" ht="13.5" x14ac:dyDescent="0.2">
      <c r="A6" s="28"/>
      <c r="B6" s="392" t="s">
        <v>254</v>
      </c>
      <c r="C6" s="472">
        <v>12686.3868634718</v>
      </c>
      <c r="D6" s="30"/>
      <c r="E6" s="176" t="s">
        <v>306</v>
      </c>
    </row>
    <row r="7" spans="1:12" ht="13.5" x14ac:dyDescent="0.2">
      <c r="A7" s="28"/>
      <c r="B7" s="392" t="s">
        <v>255</v>
      </c>
      <c r="C7" s="489">
        <v>13060.207819379601</v>
      </c>
      <c r="D7" s="33"/>
      <c r="E7" s="176" t="s">
        <v>307</v>
      </c>
    </row>
    <row r="8" spans="1:12" ht="13.5" x14ac:dyDescent="0.2">
      <c r="A8" s="28"/>
      <c r="B8" s="392" t="s">
        <v>256</v>
      </c>
      <c r="C8" s="489">
        <v>5459.4257052630001</v>
      </c>
      <c r="D8" s="33"/>
      <c r="E8" s="176" t="s">
        <v>308</v>
      </c>
    </row>
    <row r="9" spans="1:12" ht="13.5" x14ac:dyDescent="0.2">
      <c r="A9" s="28"/>
      <c r="B9" s="392" t="s">
        <v>257</v>
      </c>
      <c r="C9" s="489">
        <v>1194.05267582239</v>
      </c>
      <c r="D9" s="33"/>
      <c r="E9" s="176" t="s">
        <v>317</v>
      </c>
    </row>
    <row r="10" spans="1:12" ht="13.5" x14ac:dyDescent="0.2">
      <c r="A10" s="28"/>
      <c r="B10" s="392" t="s">
        <v>261</v>
      </c>
      <c r="C10" s="489">
        <v>32243.509335529099</v>
      </c>
      <c r="D10" s="33"/>
      <c r="E10" s="176" t="s">
        <v>309</v>
      </c>
    </row>
    <row r="11" spans="1:12" ht="27.75" customHeight="1" x14ac:dyDescent="0.2">
      <c r="A11" s="28"/>
      <c r="B11" s="392" t="s">
        <v>252</v>
      </c>
      <c r="C11" s="472">
        <v>775.34984607000001</v>
      </c>
      <c r="D11" s="33"/>
      <c r="E11" s="488"/>
    </row>
    <row r="12" spans="1:12" ht="16.5" thickBot="1" x14ac:dyDescent="0.25">
      <c r="A12" s="39"/>
      <c r="B12" s="394" t="s">
        <v>20</v>
      </c>
      <c r="C12" s="493">
        <v>24999997</v>
      </c>
      <c r="D12" s="393"/>
      <c r="E12" s="176" t="s">
        <v>310</v>
      </c>
    </row>
    <row r="13" spans="1:12" x14ac:dyDescent="0.2">
      <c r="E13" s="491"/>
    </row>
    <row r="14" spans="1:12" x14ac:dyDescent="0.2">
      <c r="A14" s="477" t="s">
        <v>284</v>
      </c>
      <c r="E14" s="491"/>
    </row>
    <row r="15" spans="1:12" x14ac:dyDescent="0.2">
      <c r="E15" s="491"/>
    </row>
    <row r="16" spans="1:12" ht="13.5" hidden="1" x14ac:dyDescent="0.2">
      <c r="C16" s="176" t="s">
        <v>56</v>
      </c>
    </row>
  </sheetData>
  <mergeCells count="1">
    <mergeCell ref="A5:B5"/>
  </mergeCells>
  <conditionalFormatting sqref="A1">
    <cfRule type="cellIs" dxfId="4" priority="7" operator="equal">
      <formula>0</formula>
    </cfRule>
  </conditionalFormatting>
  <conditionalFormatting sqref="C6:D12">
    <cfRule type="cellIs" dxfId="3" priority="6" operator="equal">
      <formula>0</formula>
    </cfRule>
  </conditionalFormatting>
  <pageMargins left="0.70866141732283472" right="0.70866141732283472" top="0.74803149606299213" bottom="0.74803149606299213" header="0.31496062992125984" footer="0.31496062992125984"/>
  <pageSetup paperSize="9" scale="96" orientation="landscape" r:id="rId1"/>
  <headerFooter>
    <oddHeader>&amp;CPage &amp;P&amp;R2019-20 Spring individual grant tables.xlsx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AE99"/>
  <sheetViews>
    <sheetView showGridLines="0" zoomScaleNormal="100" workbookViewId="0">
      <pane xSplit="4" ySplit="4" topLeftCell="E5" activePane="bottomRight" state="frozen"/>
      <selection pane="topRight" activeCell="E1" sqref="E1"/>
      <selection pane="bottomLeft" activeCell="A5" sqref="A5"/>
      <selection pane="bottomRight" sqref="A1:J1"/>
    </sheetView>
  </sheetViews>
  <sheetFormatPr defaultColWidth="9.140625" defaultRowHeight="13.5" x14ac:dyDescent="0.2"/>
  <cols>
    <col min="1" max="1" width="7.42578125" style="9" customWidth="1"/>
    <col min="2" max="2" width="10.42578125" style="9" customWidth="1"/>
    <col min="3" max="3" width="20.28515625" style="9" bestFit="1" customWidth="1"/>
    <col min="4" max="4" width="8.7109375" style="9" customWidth="1"/>
    <col min="5" max="5" width="13.5703125" style="9" customWidth="1"/>
    <col min="6" max="6" width="14.7109375" style="9" customWidth="1"/>
    <col min="7" max="7" width="13.42578125" style="9" customWidth="1"/>
    <col min="8" max="8" width="14.85546875" style="9" customWidth="1"/>
    <col min="9" max="9" width="12" style="9" customWidth="1"/>
    <col min="10" max="10" width="13.140625" style="9" customWidth="1"/>
    <col min="11" max="11" width="14.7109375" style="9" customWidth="1"/>
    <col min="12" max="12" width="13.5703125" style="9" customWidth="1"/>
    <col min="13" max="13" width="15.85546875" style="9" customWidth="1"/>
    <col min="14" max="14" width="13.85546875" style="9" customWidth="1"/>
    <col min="15" max="15" width="9.28515625" style="115" customWidth="1"/>
    <col min="16" max="16" width="14.42578125" style="9" customWidth="1"/>
    <col min="17" max="17" width="14.28515625" style="9" customWidth="1"/>
    <col min="18" max="18" width="18.28515625" style="9" customWidth="1"/>
    <col min="19" max="19" width="15.28515625" style="9" customWidth="1"/>
    <col min="20" max="20" width="15.7109375" style="9" customWidth="1"/>
    <col min="21" max="21" width="14" style="9" customWidth="1"/>
    <col min="22" max="22" width="9.140625" style="9" customWidth="1"/>
    <col min="23" max="23" width="11.140625" style="9" hidden="1" customWidth="1"/>
    <col min="24" max="24" width="8.28515625" style="9" hidden="1" customWidth="1"/>
    <col min="25" max="25" width="10.42578125" style="9" hidden="1" customWidth="1"/>
    <col min="26" max="26" width="8.85546875" style="9" hidden="1" customWidth="1"/>
    <col min="27" max="29" width="9.140625" style="9" customWidth="1"/>
    <col min="30" max="31" width="9.140625" style="9" hidden="1" customWidth="1"/>
    <col min="32" max="16384" width="9.140625" style="9"/>
  </cols>
  <sheetData>
    <row r="1" spans="1:30" ht="15.75" customHeight="1" x14ac:dyDescent="0.25">
      <c r="A1" s="502" t="str">
        <f>'A Summary'!J8</f>
        <v>Providers registered in the 'Approved (fee cap)' category by 15 April 2019 (UKPRN: ALL)</v>
      </c>
      <c r="B1" s="502"/>
      <c r="C1" s="502"/>
      <c r="D1" s="502"/>
      <c r="E1" s="502"/>
      <c r="F1" s="502"/>
      <c r="G1" s="502"/>
      <c r="H1" s="502"/>
      <c r="I1" s="502"/>
      <c r="J1" s="502"/>
      <c r="K1" s="63"/>
      <c r="L1" s="63"/>
      <c r="M1" s="63"/>
      <c r="U1" s="63"/>
    </row>
    <row r="2" spans="1:30" ht="15" customHeight="1" x14ac:dyDescent="0.2">
      <c r="B2" s="10"/>
      <c r="C2" s="10"/>
      <c r="F2" s="17"/>
      <c r="G2" s="17"/>
      <c r="H2" s="17"/>
      <c r="I2" s="17"/>
      <c r="J2" s="17"/>
    </row>
    <row r="3" spans="1:30" ht="22.5" customHeight="1" thickBot="1" x14ac:dyDescent="0.25">
      <c r="A3" s="251" t="s">
        <v>259</v>
      </c>
      <c r="F3" s="17"/>
      <c r="G3" s="17"/>
      <c r="H3" s="17"/>
      <c r="I3" s="17"/>
      <c r="J3" s="17"/>
      <c r="P3" s="506" t="s">
        <v>285</v>
      </c>
      <c r="Q3" s="506"/>
      <c r="R3" s="506"/>
      <c r="S3" s="506"/>
      <c r="T3" s="506"/>
      <c r="U3" s="506"/>
      <c r="V3" s="17"/>
    </row>
    <row r="4" spans="1:30" s="66" customFormat="1" ht="69.75" customHeight="1" x14ac:dyDescent="0.2">
      <c r="A4" s="385" t="s">
        <v>13</v>
      </c>
      <c r="B4" s="385" t="s">
        <v>0</v>
      </c>
      <c r="C4" s="385" t="s">
        <v>5</v>
      </c>
      <c r="D4" s="130" t="s">
        <v>10</v>
      </c>
      <c r="E4" s="386" t="s">
        <v>270</v>
      </c>
      <c r="F4" s="383" t="s">
        <v>288</v>
      </c>
      <c r="G4" s="383" t="s">
        <v>271</v>
      </c>
      <c r="H4" s="383" t="s">
        <v>272</v>
      </c>
      <c r="I4" s="383" t="s">
        <v>40</v>
      </c>
      <c r="J4" s="388" t="s">
        <v>248</v>
      </c>
      <c r="K4" s="387" t="s">
        <v>49</v>
      </c>
      <c r="L4" s="384" t="s">
        <v>41</v>
      </c>
      <c r="M4" s="384" t="s">
        <v>229</v>
      </c>
      <c r="N4" s="384" t="s">
        <v>42</v>
      </c>
      <c r="O4" s="485"/>
      <c r="P4" s="384" t="s">
        <v>282</v>
      </c>
      <c r="Q4" s="384" t="s">
        <v>283</v>
      </c>
      <c r="R4" s="384" t="s">
        <v>316</v>
      </c>
      <c r="S4" s="384" t="s">
        <v>41</v>
      </c>
      <c r="T4" s="384" t="s">
        <v>229</v>
      </c>
      <c r="U4" s="384" t="s">
        <v>42</v>
      </c>
      <c r="W4" s="252" t="s">
        <v>29</v>
      </c>
      <c r="X4" s="252" t="s">
        <v>30</v>
      </c>
      <c r="Y4" s="252" t="s">
        <v>31</v>
      </c>
      <c r="Z4" s="252" t="s">
        <v>32</v>
      </c>
      <c r="AB4" s="401"/>
    </row>
    <row r="5" spans="1:30" x14ac:dyDescent="0.2">
      <c r="A5" s="253" t="s">
        <v>7</v>
      </c>
      <c r="B5" s="253" t="s">
        <v>219</v>
      </c>
      <c r="C5" s="253" t="s">
        <v>6</v>
      </c>
      <c r="D5" s="254" t="s">
        <v>12</v>
      </c>
      <c r="E5" s="93">
        <v>15341.15</v>
      </c>
      <c r="F5" s="414">
        <v>0</v>
      </c>
      <c r="G5" s="414">
        <v>0</v>
      </c>
      <c r="H5" s="94">
        <v>118</v>
      </c>
      <c r="I5" s="94">
        <v>63</v>
      </c>
      <c r="J5" s="255">
        <v>15522.15</v>
      </c>
      <c r="K5" s="446">
        <v>0</v>
      </c>
      <c r="L5" s="447">
        <v>0</v>
      </c>
      <c r="M5" s="447">
        <v>0</v>
      </c>
      <c r="N5" s="256">
        <v>3721999.14</v>
      </c>
      <c r="P5" s="414">
        <v>0</v>
      </c>
      <c r="Q5" s="94">
        <v>221</v>
      </c>
      <c r="R5" s="94">
        <v>339</v>
      </c>
      <c r="S5" s="414">
        <v>0</v>
      </c>
      <c r="T5" s="414">
        <v>0</v>
      </c>
      <c r="U5" s="95">
        <v>19893</v>
      </c>
      <c r="W5" s="72" t="s">
        <v>7</v>
      </c>
      <c r="X5" s="72" t="s">
        <v>2</v>
      </c>
      <c r="Y5" s="72" t="s">
        <v>6</v>
      </c>
      <c r="Z5" s="72" t="s">
        <v>23</v>
      </c>
      <c r="AB5" s="17"/>
      <c r="AD5" s="10" t="s">
        <v>69</v>
      </c>
    </row>
    <row r="6" spans="1:30" x14ac:dyDescent="0.2">
      <c r="A6" s="115"/>
      <c r="B6" s="115"/>
      <c r="C6" s="257"/>
      <c r="D6" s="258" t="s">
        <v>11</v>
      </c>
      <c r="E6" s="79">
        <v>8310</v>
      </c>
      <c r="F6" s="407">
        <v>0</v>
      </c>
      <c r="G6" s="407">
        <v>0</v>
      </c>
      <c r="H6" s="80">
        <v>0</v>
      </c>
      <c r="I6" s="80">
        <v>61</v>
      </c>
      <c r="J6" s="259">
        <v>8371</v>
      </c>
      <c r="K6" s="448">
        <v>0</v>
      </c>
      <c r="L6" s="449">
        <v>0</v>
      </c>
      <c r="M6" s="449">
        <v>0</v>
      </c>
      <c r="N6" s="260">
        <v>2185089</v>
      </c>
      <c r="P6" s="407">
        <v>0</v>
      </c>
      <c r="Q6" s="80">
        <v>0</v>
      </c>
      <c r="R6" s="80">
        <v>0</v>
      </c>
      <c r="S6" s="407">
        <v>0</v>
      </c>
      <c r="T6" s="407">
        <v>0</v>
      </c>
      <c r="U6" s="81">
        <v>0</v>
      </c>
      <c r="W6" s="72" t="s">
        <v>7</v>
      </c>
      <c r="X6" s="72" t="s">
        <v>2</v>
      </c>
      <c r="Y6" s="72" t="s">
        <v>6</v>
      </c>
      <c r="Z6" s="72" t="s">
        <v>24</v>
      </c>
      <c r="AB6" s="17"/>
      <c r="AD6" s="10" t="s">
        <v>70</v>
      </c>
    </row>
    <row r="7" spans="1:30" x14ac:dyDescent="0.2">
      <c r="A7" s="115"/>
      <c r="B7" s="115"/>
      <c r="C7" s="261" t="str">
        <f>$AD$8</f>
        <v>PGT (Masters' loan)</v>
      </c>
      <c r="D7" s="262" t="s">
        <v>12</v>
      </c>
      <c r="E7" s="84">
        <v>1</v>
      </c>
      <c r="F7" s="408">
        <v>0</v>
      </c>
      <c r="G7" s="408">
        <v>0</v>
      </c>
      <c r="H7" s="408">
        <v>0</v>
      </c>
      <c r="I7" s="86">
        <v>0</v>
      </c>
      <c r="J7" s="263">
        <v>1</v>
      </c>
      <c r="K7" s="447">
        <v>0</v>
      </c>
      <c r="L7" s="447">
        <v>0</v>
      </c>
      <c r="M7" s="447">
        <v>0</v>
      </c>
      <c r="N7" s="264">
        <v>0</v>
      </c>
      <c r="P7" s="408">
        <v>0</v>
      </c>
      <c r="Q7" s="408">
        <v>0</v>
      </c>
      <c r="R7" s="408">
        <v>0</v>
      </c>
      <c r="S7" s="408">
        <v>0</v>
      </c>
      <c r="T7" s="408">
        <v>0</v>
      </c>
      <c r="U7" s="422">
        <v>0</v>
      </c>
      <c r="W7" s="72" t="s">
        <v>7</v>
      </c>
      <c r="X7" s="72" t="s">
        <v>2</v>
      </c>
      <c r="Y7" s="72" t="s">
        <v>46</v>
      </c>
      <c r="Z7" s="72" t="s">
        <v>23</v>
      </c>
      <c r="AB7" s="17"/>
      <c r="AD7" s="9" t="s">
        <v>250</v>
      </c>
    </row>
    <row r="8" spans="1:30" x14ac:dyDescent="0.2">
      <c r="A8" s="115"/>
      <c r="B8" s="115"/>
      <c r="C8" s="257"/>
      <c r="D8" s="258" t="s">
        <v>11</v>
      </c>
      <c r="E8" s="79">
        <v>1081.02</v>
      </c>
      <c r="F8" s="407">
        <v>0</v>
      </c>
      <c r="G8" s="407">
        <v>0</v>
      </c>
      <c r="H8" s="407">
        <v>0</v>
      </c>
      <c r="I8" s="80">
        <v>0</v>
      </c>
      <c r="J8" s="259">
        <v>1081.02</v>
      </c>
      <c r="K8" s="449">
        <v>0</v>
      </c>
      <c r="L8" s="449">
        <v>0</v>
      </c>
      <c r="M8" s="449">
        <v>0</v>
      </c>
      <c r="N8" s="260">
        <v>1021689.35</v>
      </c>
      <c r="P8" s="407">
        <v>0</v>
      </c>
      <c r="Q8" s="407">
        <v>0</v>
      </c>
      <c r="R8" s="407">
        <v>0</v>
      </c>
      <c r="S8" s="407">
        <v>0</v>
      </c>
      <c r="T8" s="407">
        <v>0</v>
      </c>
      <c r="U8" s="420">
        <v>0</v>
      </c>
      <c r="W8" s="72" t="s">
        <v>7</v>
      </c>
      <c r="X8" s="72" t="s">
        <v>2</v>
      </c>
      <c r="Y8" s="72" t="s">
        <v>46</v>
      </c>
      <c r="Z8" s="72" t="s">
        <v>24</v>
      </c>
      <c r="AB8" s="17"/>
      <c r="AD8" s="9" t="s">
        <v>279</v>
      </c>
    </row>
    <row r="9" spans="1:30" x14ac:dyDescent="0.2">
      <c r="A9" s="115"/>
      <c r="B9" s="115"/>
      <c r="C9" s="261" t="str">
        <f>$AD$9</f>
        <v>PGT (Other)</v>
      </c>
      <c r="D9" s="262" t="s">
        <v>12</v>
      </c>
      <c r="E9" s="84">
        <v>98.51</v>
      </c>
      <c r="F9" s="408">
        <v>0</v>
      </c>
      <c r="G9" s="408">
        <v>0</v>
      </c>
      <c r="H9" s="408">
        <v>0</v>
      </c>
      <c r="I9" s="86">
        <v>0</v>
      </c>
      <c r="J9" s="263">
        <v>98.51</v>
      </c>
      <c r="K9" s="265">
        <v>108361</v>
      </c>
      <c r="L9" s="447">
        <v>0</v>
      </c>
      <c r="M9" s="447">
        <v>0</v>
      </c>
      <c r="N9" s="265">
        <v>13631.94</v>
      </c>
      <c r="P9" s="408">
        <v>0</v>
      </c>
      <c r="Q9" s="408">
        <v>0</v>
      </c>
      <c r="R9" s="408">
        <v>0</v>
      </c>
      <c r="S9" s="408">
        <v>0</v>
      </c>
      <c r="T9" s="408">
        <v>0</v>
      </c>
      <c r="U9" s="422">
        <v>0</v>
      </c>
      <c r="W9" s="72" t="s">
        <v>7</v>
      </c>
      <c r="X9" s="72" t="s">
        <v>2</v>
      </c>
      <c r="Y9" s="72" t="s">
        <v>47</v>
      </c>
      <c r="Z9" s="72" t="s">
        <v>23</v>
      </c>
      <c r="AB9" s="17"/>
      <c r="AD9" s="9" t="s">
        <v>280</v>
      </c>
    </row>
    <row r="10" spans="1:30" x14ac:dyDescent="0.2">
      <c r="A10" s="115"/>
      <c r="B10" s="266"/>
      <c r="C10" s="266"/>
      <c r="D10" s="267" t="s">
        <v>11</v>
      </c>
      <c r="E10" s="268">
        <v>211</v>
      </c>
      <c r="F10" s="441">
        <v>0</v>
      </c>
      <c r="G10" s="441">
        <v>0</v>
      </c>
      <c r="H10" s="441">
        <v>0</v>
      </c>
      <c r="I10" s="269">
        <v>0</v>
      </c>
      <c r="J10" s="270">
        <v>211</v>
      </c>
      <c r="K10" s="271">
        <v>232100</v>
      </c>
      <c r="L10" s="450">
        <v>0</v>
      </c>
      <c r="M10" s="450">
        <v>0</v>
      </c>
      <c r="N10" s="271">
        <v>112502</v>
      </c>
      <c r="P10" s="441">
        <v>0</v>
      </c>
      <c r="Q10" s="441">
        <v>0</v>
      </c>
      <c r="R10" s="441">
        <v>0</v>
      </c>
      <c r="S10" s="441">
        <v>0</v>
      </c>
      <c r="T10" s="441">
        <v>0</v>
      </c>
      <c r="U10" s="471">
        <v>0</v>
      </c>
      <c r="W10" s="72" t="s">
        <v>7</v>
      </c>
      <c r="X10" s="72" t="s">
        <v>2</v>
      </c>
      <c r="Y10" s="72" t="s">
        <v>47</v>
      </c>
      <c r="Z10" s="72" t="s">
        <v>24</v>
      </c>
      <c r="AB10" s="17"/>
    </row>
    <row r="11" spans="1:30" x14ac:dyDescent="0.2">
      <c r="A11" s="115"/>
      <c r="B11" s="115" t="s">
        <v>223</v>
      </c>
      <c r="C11" s="115" t="s">
        <v>6</v>
      </c>
      <c r="D11" s="254" t="s">
        <v>12</v>
      </c>
      <c r="E11" s="93">
        <v>30.72</v>
      </c>
      <c r="F11" s="414">
        <v>0</v>
      </c>
      <c r="G11" s="414">
        <v>0</v>
      </c>
      <c r="H11" s="94">
        <v>0.4</v>
      </c>
      <c r="I11" s="94">
        <v>-2.85</v>
      </c>
      <c r="J11" s="255">
        <v>28.27</v>
      </c>
      <c r="K11" s="446">
        <v>0</v>
      </c>
      <c r="L11" s="451">
        <v>0</v>
      </c>
      <c r="M11" s="451">
        <v>0</v>
      </c>
      <c r="N11" s="264">
        <v>0</v>
      </c>
      <c r="P11" s="414">
        <v>0</v>
      </c>
      <c r="Q11" s="94">
        <v>4.6500000000000004</v>
      </c>
      <c r="R11" s="94">
        <v>5.05</v>
      </c>
      <c r="S11" s="414">
        <v>0</v>
      </c>
      <c r="T11" s="414">
        <v>0</v>
      </c>
      <c r="U11" s="95">
        <v>0</v>
      </c>
      <c r="W11" s="72" t="s">
        <v>7</v>
      </c>
      <c r="X11" s="72" t="s">
        <v>1</v>
      </c>
      <c r="Y11" s="72" t="s">
        <v>6</v>
      </c>
      <c r="Z11" s="72" t="s">
        <v>23</v>
      </c>
      <c r="AB11" s="17"/>
    </row>
    <row r="12" spans="1:30" x14ac:dyDescent="0.2">
      <c r="A12" s="115"/>
      <c r="B12" s="115"/>
      <c r="C12" s="257"/>
      <c r="D12" s="258" t="s">
        <v>11</v>
      </c>
      <c r="E12" s="79">
        <v>9.17</v>
      </c>
      <c r="F12" s="407">
        <v>0</v>
      </c>
      <c r="G12" s="407">
        <v>0</v>
      </c>
      <c r="H12" s="80">
        <v>0</v>
      </c>
      <c r="I12" s="80">
        <v>0</v>
      </c>
      <c r="J12" s="259">
        <v>9.17</v>
      </c>
      <c r="K12" s="448">
        <v>0</v>
      </c>
      <c r="L12" s="449">
        <v>0</v>
      </c>
      <c r="M12" s="449">
        <v>0</v>
      </c>
      <c r="N12" s="260">
        <v>5308.29</v>
      </c>
      <c r="P12" s="407">
        <v>0</v>
      </c>
      <c r="Q12" s="80">
        <v>0</v>
      </c>
      <c r="R12" s="80">
        <v>0</v>
      </c>
      <c r="S12" s="407">
        <v>0</v>
      </c>
      <c r="T12" s="407">
        <v>0</v>
      </c>
      <c r="U12" s="81">
        <v>0</v>
      </c>
      <c r="W12" s="72" t="s">
        <v>7</v>
      </c>
      <c r="X12" s="72" t="s">
        <v>1</v>
      </c>
      <c r="Y12" s="72" t="s">
        <v>6</v>
      </c>
      <c r="Z12" s="72" t="s">
        <v>24</v>
      </c>
      <c r="AB12" s="17"/>
    </row>
    <row r="13" spans="1:30" x14ac:dyDescent="0.2">
      <c r="A13" s="115"/>
      <c r="B13" s="115"/>
      <c r="C13" s="261" t="str">
        <f>$AD$8</f>
        <v>PGT (Masters' loan)</v>
      </c>
      <c r="D13" s="262" t="s">
        <v>12</v>
      </c>
      <c r="E13" s="84">
        <v>0</v>
      </c>
      <c r="F13" s="408">
        <v>0</v>
      </c>
      <c r="G13" s="408">
        <v>0</v>
      </c>
      <c r="H13" s="408">
        <v>0</v>
      </c>
      <c r="I13" s="86">
        <v>0</v>
      </c>
      <c r="J13" s="263">
        <v>0</v>
      </c>
      <c r="K13" s="447">
        <v>0</v>
      </c>
      <c r="L13" s="447">
        <v>0</v>
      </c>
      <c r="M13" s="447">
        <v>0</v>
      </c>
      <c r="N13" s="265">
        <v>0</v>
      </c>
      <c r="P13" s="408">
        <v>0</v>
      </c>
      <c r="Q13" s="408">
        <v>0</v>
      </c>
      <c r="R13" s="408">
        <v>0</v>
      </c>
      <c r="S13" s="408">
        <v>0</v>
      </c>
      <c r="T13" s="408">
        <v>0</v>
      </c>
      <c r="U13" s="422">
        <v>0</v>
      </c>
      <c r="W13" s="72" t="s">
        <v>7</v>
      </c>
      <c r="X13" s="72" t="s">
        <v>1</v>
      </c>
      <c r="Y13" s="72" t="s">
        <v>46</v>
      </c>
      <c r="Z13" s="72" t="s">
        <v>23</v>
      </c>
      <c r="AB13" s="17"/>
    </row>
    <row r="14" spans="1:30" x14ac:dyDescent="0.2">
      <c r="A14" s="115"/>
      <c r="B14" s="115"/>
      <c r="C14" s="257"/>
      <c r="D14" s="258" t="s">
        <v>11</v>
      </c>
      <c r="E14" s="79">
        <v>429.04</v>
      </c>
      <c r="F14" s="407">
        <v>0</v>
      </c>
      <c r="G14" s="407">
        <v>0</v>
      </c>
      <c r="H14" s="407">
        <v>0</v>
      </c>
      <c r="I14" s="80">
        <v>0</v>
      </c>
      <c r="J14" s="259">
        <v>429.04</v>
      </c>
      <c r="K14" s="449">
        <v>0</v>
      </c>
      <c r="L14" s="449">
        <v>0</v>
      </c>
      <c r="M14" s="449">
        <v>0</v>
      </c>
      <c r="N14" s="260">
        <v>255740.27</v>
      </c>
      <c r="P14" s="407">
        <v>0</v>
      </c>
      <c r="Q14" s="407">
        <v>0</v>
      </c>
      <c r="R14" s="407">
        <v>0</v>
      </c>
      <c r="S14" s="407">
        <v>0</v>
      </c>
      <c r="T14" s="407">
        <v>0</v>
      </c>
      <c r="U14" s="420">
        <v>0</v>
      </c>
      <c r="W14" s="72" t="s">
        <v>7</v>
      </c>
      <c r="X14" s="72" t="s">
        <v>1</v>
      </c>
      <c r="Y14" s="72" t="s">
        <v>46</v>
      </c>
      <c r="Z14" s="72" t="s">
        <v>24</v>
      </c>
      <c r="AB14" s="17"/>
    </row>
    <row r="15" spans="1:30" x14ac:dyDescent="0.2">
      <c r="A15" s="115"/>
      <c r="B15" s="115"/>
      <c r="C15" s="261" t="str">
        <f>$AD$9</f>
        <v>PGT (Other)</v>
      </c>
      <c r="D15" s="262" t="s">
        <v>12</v>
      </c>
      <c r="E15" s="84">
        <v>134.94</v>
      </c>
      <c r="F15" s="408">
        <v>0</v>
      </c>
      <c r="G15" s="408">
        <v>0</v>
      </c>
      <c r="H15" s="408">
        <v>0</v>
      </c>
      <c r="I15" s="86">
        <v>0</v>
      </c>
      <c r="J15" s="263">
        <v>134.94</v>
      </c>
      <c r="K15" s="265">
        <v>148434</v>
      </c>
      <c r="L15" s="447">
        <v>0</v>
      </c>
      <c r="M15" s="447">
        <v>0</v>
      </c>
      <c r="N15" s="265">
        <v>78603.05</v>
      </c>
      <c r="P15" s="408">
        <v>0</v>
      </c>
      <c r="Q15" s="408">
        <v>0</v>
      </c>
      <c r="R15" s="408">
        <v>0</v>
      </c>
      <c r="S15" s="408">
        <v>0</v>
      </c>
      <c r="T15" s="408">
        <v>0</v>
      </c>
      <c r="U15" s="422">
        <v>0</v>
      </c>
      <c r="W15" s="72" t="s">
        <v>7</v>
      </c>
      <c r="X15" s="72" t="s">
        <v>1</v>
      </c>
      <c r="Y15" s="72" t="s">
        <v>47</v>
      </c>
      <c r="Z15" s="72" t="s">
        <v>23</v>
      </c>
      <c r="AB15" s="17"/>
    </row>
    <row r="16" spans="1:30" x14ac:dyDescent="0.2">
      <c r="A16" s="272"/>
      <c r="B16" s="272"/>
      <c r="C16" s="272"/>
      <c r="D16" s="180" t="s">
        <v>11</v>
      </c>
      <c r="E16" s="90">
        <v>79.42</v>
      </c>
      <c r="F16" s="409">
        <v>0</v>
      </c>
      <c r="G16" s="409">
        <v>0</v>
      </c>
      <c r="H16" s="409">
        <v>0</v>
      </c>
      <c r="I16" s="91">
        <v>0</v>
      </c>
      <c r="J16" s="273">
        <v>79.42</v>
      </c>
      <c r="K16" s="260">
        <v>87362</v>
      </c>
      <c r="L16" s="449">
        <v>0</v>
      </c>
      <c r="M16" s="452">
        <v>0</v>
      </c>
      <c r="N16" s="260">
        <v>50119.89</v>
      </c>
      <c r="P16" s="409">
        <v>0</v>
      </c>
      <c r="Q16" s="409">
        <v>0</v>
      </c>
      <c r="R16" s="409">
        <v>0</v>
      </c>
      <c r="S16" s="409">
        <v>0</v>
      </c>
      <c r="T16" s="409">
        <v>0</v>
      </c>
      <c r="U16" s="421">
        <v>0</v>
      </c>
      <c r="W16" s="72" t="s">
        <v>7</v>
      </c>
      <c r="X16" s="72" t="s">
        <v>1</v>
      </c>
      <c r="Y16" s="72" t="s">
        <v>47</v>
      </c>
      <c r="Z16" s="72" t="s">
        <v>24</v>
      </c>
      <c r="AB16" s="17"/>
    </row>
    <row r="17" spans="1:28" x14ac:dyDescent="0.2">
      <c r="A17" s="253" t="s">
        <v>8</v>
      </c>
      <c r="B17" s="253" t="s">
        <v>219</v>
      </c>
      <c r="C17" s="115" t="s">
        <v>6</v>
      </c>
      <c r="D17" s="254" t="s">
        <v>12</v>
      </c>
      <c r="E17" s="93">
        <v>206862.02</v>
      </c>
      <c r="F17" s="94">
        <v>5991</v>
      </c>
      <c r="G17" s="414">
        <v>0</v>
      </c>
      <c r="H17" s="414">
        <v>0</v>
      </c>
      <c r="I17" s="94">
        <v>1320</v>
      </c>
      <c r="J17" s="255">
        <v>214173.02</v>
      </c>
      <c r="K17" s="453">
        <v>0</v>
      </c>
      <c r="L17" s="454">
        <v>0</v>
      </c>
      <c r="M17" s="454">
        <v>0</v>
      </c>
      <c r="N17" s="256">
        <v>14063248.939999999</v>
      </c>
      <c r="P17" s="94">
        <v>6757</v>
      </c>
      <c r="Q17" s="94">
        <v>7912</v>
      </c>
      <c r="R17" s="94">
        <v>20660</v>
      </c>
      <c r="S17" s="414">
        <v>0</v>
      </c>
      <c r="T17" s="454">
        <v>0</v>
      </c>
      <c r="U17" s="95">
        <v>1213007</v>
      </c>
      <c r="W17" s="72" t="s">
        <v>8</v>
      </c>
      <c r="X17" s="72" t="s">
        <v>2</v>
      </c>
      <c r="Y17" s="72" t="s">
        <v>6</v>
      </c>
      <c r="Z17" s="72" t="s">
        <v>23</v>
      </c>
      <c r="AB17" s="17"/>
    </row>
    <row r="18" spans="1:28" x14ac:dyDescent="0.2">
      <c r="A18" s="115"/>
      <c r="B18" s="115"/>
      <c r="C18" s="257"/>
      <c r="D18" s="258" t="s">
        <v>11</v>
      </c>
      <c r="E18" s="79">
        <v>467.77</v>
      </c>
      <c r="F18" s="80">
        <v>0</v>
      </c>
      <c r="G18" s="407">
        <v>0</v>
      </c>
      <c r="H18" s="407">
        <v>0</v>
      </c>
      <c r="I18" s="80">
        <v>0</v>
      </c>
      <c r="J18" s="259">
        <v>467.77</v>
      </c>
      <c r="K18" s="448">
        <v>0</v>
      </c>
      <c r="L18" s="449">
        <v>0</v>
      </c>
      <c r="M18" s="260">
        <v>672919.67372580001</v>
      </c>
      <c r="N18" s="260">
        <v>63703.5</v>
      </c>
      <c r="P18" s="80">
        <v>0</v>
      </c>
      <c r="Q18" s="80">
        <v>0</v>
      </c>
      <c r="R18" s="80">
        <v>0</v>
      </c>
      <c r="S18" s="407">
        <v>0</v>
      </c>
      <c r="T18" s="81">
        <v>0</v>
      </c>
      <c r="U18" s="81">
        <v>0</v>
      </c>
      <c r="W18" s="72" t="s">
        <v>8</v>
      </c>
      <c r="X18" s="72" t="s">
        <v>2</v>
      </c>
      <c r="Y18" s="72" t="s">
        <v>6</v>
      </c>
      <c r="Z18" s="72" t="s">
        <v>24</v>
      </c>
      <c r="AB18" s="17"/>
    </row>
    <row r="19" spans="1:28" x14ac:dyDescent="0.2">
      <c r="A19" s="115"/>
      <c r="B19" s="115"/>
      <c r="C19" s="261" t="str">
        <f>$AD$7</f>
        <v>PGT (UG fee)</v>
      </c>
      <c r="D19" s="254" t="s">
        <v>12</v>
      </c>
      <c r="E19" s="84">
        <v>1255</v>
      </c>
      <c r="F19" s="408">
        <v>0</v>
      </c>
      <c r="G19" s="86">
        <v>917</v>
      </c>
      <c r="H19" s="408">
        <v>0</v>
      </c>
      <c r="I19" s="86">
        <v>0</v>
      </c>
      <c r="J19" s="263">
        <v>2172</v>
      </c>
      <c r="K19" s="446">
        <v>0</v>
      </c>
      <c r="L19" s="447">
        <v>0</v>
      </c>
      <c r="M19" s="447">
        <v>0</v>
      </c>
      <c r="N19" s="264">
        <v>302816</v>
      </c>
      <c r="P19" s="408">
        <v>0</v>
      </c>
      <c r="Q19" s="86">
        <v>1112</v>
      </c>
      <c r="R19" s="86">
        <v>2029</v>
      </c>
      <c r="S19" s="408">
        <v>0</v>
      </c>
      <c r="T19" s="408">
        <v>0</v>
      </c>
      <c r="U19" s="87">
        <v>302741</v>
      </c>
      <c r="W19" s="72" t="s">
        <v>8</v>
      </c>
      <c r="X19" s="72" t="s">
        <v>2</v>
      </c>
      <c r="Y19" s="72" t="s">
        <v>33</v>
      </c>
      <c r="Z19" s="72" t="s">
        <v>23</v>
      </c>
      <c r="AB19" s="17"/>
    </row>
    <row r="20" spans="1:28" x14ac:dyDescent="0.2">
      <c r="A20" s="115"/>
      <c r="B20" s="115"/>
      <c r="C20" s="257"/>
      <c r="D20" s="258" t="s">
        <v>11</v>
      </c>
      <c r="E20" s="79">
        <v>23</v>
      </c>
      <c r="F20" s="407">
        <v>0</v>
      </c>
      <c r="G20" s="80">
        <v>0</v>
      </c>
      <c r="H20" s="407">
        <v>0</v>
      </c>
      <c r="I20" s="80">
        <v>0</v>
      </c>
      <c r="J20" s="259">
        <v>23</v>
      </c>
      <c r="K20" s="448">
        <v>0</v>
      </c>
      <c r="L20" s="260">
        <v>25486.139459999999</v>
      </c>
      <c r="M20" s="449">
        <v>0</v>
      </c>
      <c r="N20" s="260">
        <v>0</v>
      </c>
      <c r="P20" s="407">
        <v>0</v>
      </c>
      <c r="Q20" s="80">
        <v>22</v>
      </c>
      <c r="R20" s="80">
        <v>22</v>
      </c>
      <c r="S20" s="81">
        <v>24378.046439999998</v>
      </c>
      <c r="T20" s="407">
        <v>0</v>
      </c>
      <c r="U20" s="81">
        <v>0</v>
      </c>
      <c r="W20" s="72" t="s">
        <v>8</v>
      </c>
      <c r="X20" s="72" t="s">
        <v>2</v>
      </c>
      <c r="Y20" s="72" t="s">
        <v>33</v>
      </c>
      <c r="Z20" s="72" t="s">
        <v>24</v>
      </c>
      <c r="AB20" s="17"/>
    </row>
    <row r="21" spans="1:28" x14ac:dyDescent="0.2">
      <c r="A21" s="115"/>
      <c r="B21" s="115"/>
      <c r="C21" s="261" t="str">
        <f>$AD$8</f>
        <v>PGT (Masters' loan)</v>
      </c>
      <c r="D21" s="262" t="s">
        <v>12</v>
      </c>
      <c r="E21" s="84">
        <v>747.14</v>
      </c>
      <c r="F21" s="408">
        <v>0</v>
      </c>
      <c r="G21" s="408">
        <v>0</v>
      </c>
      <c r="H21" s="408">
        <v>0</v>
      </c>
      <c r="I21" s="86">
        <v>0</v>
      </c>
      <c r="J21" s="263">
        <v>747.14</v>
      </c>
      <c r="K21" s="447">
        <v>0</v>
      </c>
      <c r="L21" s="446">
        <v>0</v>
      </c>
      <c r="M21" s="447">
        <v>0</v>
      </c>
      <c r="N21" s="264">
        <v>65322.65</v>
      </c>
      <c r="P21" s="408">
        <v>0</v>
      </c>
      <c r="Q21" s="408">
        <v>0</v>
      </c>
      <c r="R21" s="408">
        <v>0</v>
      </c>
      <c r="S21" s="408">
        <v>0</v>
      </c>
      <c r="T21" s="408">
        <v>0</v>
      </c>
      <c r="U21" s="422">
        <v>0</v>
      </c>
      <c r="W21" s="72" t="s">
        <v>8</v>
      </c>
      <c r="X21" s="72" t="s">
        <v>2</v>
      </c>
      <c r="Y21" s="72" t="s">
        <v>46</v>
      </c>
      <c r="Z21" s="72" t="s">
        <v>23</v>
      </c>
    </row>
    <row r="22" spans="1:28" x14ac:dyDescent="0.2">
      <c r="A22" s="115"/>
      <c r="B22" s="115"/>
      <c r="C22" s="257"/>
      <c r="D22" s="258" t="s">
        <v>11</v>
      </c>
      <c r="E22" s="79">
        <v>8927.2900000000009</v>
      </c>
      <c r="F22" s="407">
        <v>0</v>
      </c>
      <c r="G22" s="407">
        <v>0</v>
      </c>
      <c r="H22" s="407">
        <v>0</v>
      </c>
      <c r="I22" s="80">
        <v>0</v>
      </c>
      <c r="J22" s="259">
        <v>8927.2900000000009</v>
      </c>
      <c r="K22" s="449">
        <v>0</v>
      </c>
      <c r="L22" s="260">
        <v>9892267.7365157995</v>
      </c>
      <c r="M22" s="449">
        <v>0</v>
      </c>
      <c r="N22" s="260">
        <v>1203180.2</v>
      </c>
      <c r="P22" s="407">
        <v>0</v>
      </c>
      <c r="Q22" s="407">
        <v>0</v>
      </c>
      <c r="R22" s="407">
        <v>0</v>
      </c>
      <c r="S22" s="407">
        <v>0</v>
      </c>
      <c r="T22" s="407">
        <v>0</v>
      </c>
      <c r="U22" s="420">
        <v>0</v>
      </c>
      <c r="W22" s="72" t="s">
        <v>8</v>
      </c>
      <c r="X22" s="72" t="s">
        <v>2</v>
      </c>
      <c r="Y22" s="72" t="s">
        <v>46</v>
      </c>
      <c r="Z22" s="72" t="s">
        <v>24</v>
      </c>
    </row>
    <row r="23" spans="1:28" x14ac:dyDescent="0.2">
      <c r="A23" s="115"/>
      <c r="B23" s="115"/>
      <c r="C23" s="261" t="str">
        <f>$AD$9</f>
        <v>PGT (Other)</v>
      </c>
      <c r="D23" s="262" t="s">
        <v>12</v>
      </c>
      <c r="E23" s="84">
        <v>308.27999999999997</v>
      </c>
      <c r="F23" s="408">
        <v>0</v>
      </c>
      <c r="G23" s="408">
        <v>0</v>
      </c>
      <c r="H23" s="408">
        <v>0</v>
      </c>
      <c r="I23" s="86">
        <v>0</v>
      </c>
      <c r="J23" s="263">
        <v>308.27999999999997</v>
      </c>
      <c r="K23" s="265">
        <v>339108</v>
      </c>
      <c r="L23" s="447">
        <v>0</v>
      </c>
      <c r="M23" s="447">
        <v>0</v>
      </c>
      <c r="N23" s="265">
        <v>6263.55</v>
      </c>
      <c r="P23" s="408">
        <v>0</v>
      </c>
      <c r="Q23" s="408">
        <v>0</v>
      </c>
      <c r="R23" s="408">
        <v>0</v>
      </c>
      <c r="S23" s="408">
        <v>0</v>
      </c>
      <c r="T23" s="408">
        <v>0</v>
      </c>
      <c r="U23" s="422">
        <v>0</v>
      </c>
      <c r="W23" s="72" t="s">
        <v>8</v>
      </c>
      <c r="X23" s="72" t="s">
        <v>2</v>
      </c>
      <c r="Y23" s="72" t="s">
        <v>47</v>
      </c>
      <c r="Z23" s="72" t="s">
        <v>23</v>
      </c>
    </row>
    <row r="24" spans="1:28" x14ac:dyDescent="0.2">
      <c r="A24" s="115"/>
      <c r="B24" s="266"/>
      <c r="C24" s="266"/>
      <c r="D24" s="267" t="s">
        <v>11</v>
      </c>
      <c r="E24" s="268">
        <v>222.08</v>
      </c>
      <c r="F24" s="441">
        <v>0</v>
      </c>
      <c r="G24" s="441">
        <v>0</v>
      </c>
      <c r="H24" s="441">
        <v>0</v>
      </c>
      <c r="I24" s="269">
        <v>2</v>
      </c>
      <c r="J24" s="270">
        <v>224.08</v>
      </c>
      <c r="K24" s="271">
        <v>246488</v>
      </c>
      <c r="L24" s="271">
        <v>248301.48392160001</v>
      </c>
      <c r="M24" s="450">
        <v>0</v>
      </c>
      <c r="N24" s="271">
        <v>0</v>
      </c>
      <c r="P24" s="441">
        <v>0</v>
      </c>
      <c r="Q24" s="441">
        <v>0</v>
      </c>
      <c r="R24" s="441">
        <v>0</v>
      </c>
      <c r="S24" s="441">
        <v>0</v>
      </c>
      <c r="T24" s="441">
        <v>0</v>
      </c>
      <c r="U24" s="471">
        <v>0</v>
      </c>
      <c r="W24" s="72" t="s">
        <v>8</v>
      </c>
      <c r="X24" s="72" t="s">
        <v>2</v>
      </c>
      <c r="Y24" s="72" t="s">
        <v>47</v>
      </c>
      <c r="Z24" s="72" t="s">
        <v>24</v>
      </c>
    </row>
    <row r="25" spans="1:28" x14ac:dyDescent="0.2">
      <c r="A25" s="115"/>
      <c r="B25" s="115" t="s">
        <v>223</v>
      </c>
      <c r="C25" s="115" t="s">
        <v>6</v>
      </c>
      <c r="D25" s="254" t="s">
        <v>12</v>
      </c>
      <c r="E25" s="93">
        <v>15975.36</v>
      </c>
      <c r="F25" s="94">
        <v>118.25</v>
      </c>
      <c r="G25" s="414">
        <v>0</v>
      </c>
      <c r="H25" s="414">
        <v>0</v>
      </c>
      <c r="I25" s="94">
        <v>0</v>
      </c>
      <c r="J25" s="255">
        <v>16093.61</v>
      </c>
      <c r="K25" s="446">
        <v>0</v>
      </c>
      <c r="L25" s="451">
        <v>0</v>
      </c>
      <c r="M25" s="451">
        <v>0</v>
      </c>
      <c r="N25" s="264">
        <v>579551.67000000004</v>
      </c>
      <c r="P25" s="94">
        <v>85.51</v>
      </c>
      <c r="Q25" s="94">
        <v>144.41999999999999</v>
      </c>
      <c r="R25" s="94">
        <v>348.18</v>
      </c>
      <c r="S25" s="414">
        <v>0</v>
      </c>
      <c r="T25" s="414">
        <v>0</v>
      </c>
      <c r="U25" s="95">
        <v>24104.85</v>
      </c>
      <c r="W25" s="72" t="s">
        <v>8</v>
      </c>
      <c r="X25" s="72" t="s">
        <v>1</v>
      </c>
      <c r="Y25" s="72" t="s">
        <v>6</v>
      </c>
      <c r="Z25" s="72" t="s">
        <v>23</v>
      </c>
    </row>
    <row r="26" spans="1:28" x14ac:dyDescent="0.2">
      <c r="A26" s="115"/>
      <c r="B26" s="115"/>
      <c r="C26" s="257"/>
      <c r="D26" s="258" t="s">
        <v>11</v>
      </c>
      <c r="E26" s="79">
        <v>27.73</v>
      </c>
      <c r="F26" s="80">
        <v>0</v>
      </c>
      <c r="G26" s="407">
        <v>0</v>
      </c>
      <c r="H26" s="407">
        <v>0</v>
      </c>
      <c r="I26" s="80">
        <v>0</v>
      </c>
      <c r="J26" s="259">
        <v>27.73</v>
      </c>
      <c r="K26" s="448">
        <v>0</v>
      </c>
      <c r="L26" s="449">
        <v>0</v>
      </c>
      <c r="M26" s="449">
        <v>0</v>
      </c>
      <c r="N26" s="260">
        <v>1691</v>
      </c>
      <c r="P26" s="80">
        <v>0</v>
      </c>
      <c r="Q26" s="80">
        <v>0</v>
      </c>
      <c r="R26" s="80">
        <v>0</v>
      </c>
      <c r="S26" s="407">
        <v>0</v>
      </c>
      <c r="T26" s="407">
        <v>0</v>
      </c>
      <c r="U26" s="81">
        <v>0</v>
      </c>
      <c r="W26" s="72" t="s">
        <v>8</v>
      </c>
      <c r="X26" s="72" t="s">
        <v>1</v>
      </c>
      <c r="Y26" s="72" t="s">
        <v>6</v>
      </c>
      <c r="Z26" s="72" t="s">
        <v>24</v>
      </c>
    </row>
    <row r="27" spans="1:28" x14ac:dyDescent="0.2">
      <c r="A27" s="115"/>
      <c r="B27" s="115"/>
      <c r="C27" s="261" t="str">
        <f>$AD$7</f>
        <v>PGT (UG fee)</v>
      </c>
      <c r="D27" s="254" t="s">
        <v>12</v>
      </c>
      <c r="E27" s="84">
        <v>4.12</v>
      </c>
      <c r="F27" s="408">
        <v>0</v>
      </c>
      <c r="G27" s="86">
        <v>7.09</v>
      </c>
      <c r="H27" s="408">
        <v>0</v>
      </c>
      <c r="I27" s="86">
        <v>0</v>
      </c>
      <c r="J27" s="263">
        <v>11.21</v>
      </c>
      <c r="K27" s="455">
        <v>0</v>
      </c>
      <c r="L27" s="447">
        <v>0</v>
      </c>
      <c r="M27" s="447">
        <v>0</v>
      </c>
      <c r="N27" s="265">
        <v>1998.05</v>
      </c>
      <c r="P27" s="408">
        <v>0</v>
      </c>
      <c r="Q27" s="86">
        <v>2.33</v>
      </c>
      <c r="R27" s="86">
        <v>9.42</v>
      </c>
      <c r="S27" s="408">
        <v>0</v>
      </c>
      <c r="T27" s="408">
        <v>0</v>
      </c>
      <c r="U27" s="87">
        <v>1935.75</v>
      </c>
      <c r="W27" s="72" t="s">
        <v>8</v>
      </c>
      <c r="X27" s="72" t="s">
        <v>1</v>
      </c>
      <c r="Y27" s="72" t="s">
        <v>33</v>
      </c>
      <c r="Z27" s="72" t="s">
        <v>23</v>
      </c>
    </row>
    <row r="28" spans="1:28" x14ac:dyDescent="0.2">
      <c r="A28" s="115"/>
      <c r="B28" s="115"/>
      <c r="C28" s="257"/>
      <c r="D28" s="258" t="s">
        <v>11</v>
      </c>
      <c r="E28" s="79">
        <v>0.33</v>
      </c>
      <c r="F28" s="407">
        <v>0</v>
      </c>
      <c r="G28" s="80">
        <v>0</v>
      </c>
      <c r="H28" s="407">
        <v>0</v>
      </c>
      <c r="I28" s="80">
        <v>0</v>
      </c>
      <c r="J28" s="259">
        <v>0.33</v>
      </c>
      <c r="K28" s="448">
        <v>0</v>
      </c>
      <c r="L28" s="260">
        <v>365.67069659999999</v>
      </c>
      <c r="M28" s="449">
        <v>0</v>
      </c>
      <c r="N28" s="260">
        <v>0</v>
      </c>
      <c r="P28" s="407">
        <v>0</v>
      </c>
      <c r="Q28" s="80">
        <v>0</v>
      </c>
      <c r="R28" s="80">
        <v>0</v>
      </c>
      <c r="S28" s="81">
        <v>0</v>
      </c>
      <c r="T28" s="407">
        <v>0</v>
      </c>
      <c r="U28" s="81">
        <v>0</v>
      </c>
      <c r="W28" s="72" t="s">
        <v>8</v>
      </c>
      <c r="X28" s="72" t="s">
        <v>1</v>
      </c>
      <c r="Y28" s="72" t="s">
        <v>33</v>
      </c>
      <c r="Z28" s="72" t="s">
        <v>24</v>
      </c>
    </row>
    <row r="29" spans="1:28" x14ac:dyDescent="0.2">
      <c r="A29" s="115"/>
      <c r="B29" s="115"/>
      <c r="C29" s="261" t="str">
        <f>$AD$8</f>
        <v>PGT (Masters' loan)</v>
      </c>
      <c r="D29" s="262" t="s">
        <v>12</v>
      </c>
      <c r="E29" s="84">
        <v>403.11</v>
      </c>
      <c r="F29" s="408">
        <v>0</v>
      </c>
      <c r="G29" s="408">
        <v>0</v>
      </c>
      <c r="H29" s="408">
        <v>0</v>
      </c>
      <c r="I29" s="86">
        <v>0</v>
      </c>
      <c r="J29" s="263">
        <v>403.11</v>
      </c>
      <c r="K29" s="447">
        <v>0</v>
      </c>
      <c r="L29" s="446">
        <v>0</v>
      </c>
      <c r="M29" s="447">
        <v>0</v>
      </c>
      <c r="N29" s="265">
        <v>22915.65</v>
      </c>
      <c r="P29" s="408">
        <v>0</v>
      </c>
      <c r="Q29" s="408">
        <v>0</v>
      </c>
      <c r="R29" s="408">
        <v>0</v>
      </c>
      <c r="S29" s="408">
        <v>0</v>
      </c>
      <c r="T29" s="408">
        <v>0</v>
      </c>
      <c r="U29" s="422">
        <v>0</v>
      </c>
      <c r="W29" s="72" t="s">
        <v>8</v>
      </c>
      <c r="X29" s="72" t="s">
        <v>1</v>
      </c>
      <c r="Y29" s="72" t="s">
        <v>46</v>
      </c>
      <c r="Z29" s="72" t="s">
        <v>23</v>
      </c>
    </row>
    <row r="30" spans="1:28" x14ac:dyDescent="0.2">
      <c r="A30" s="115"/>
      <c r="B30" s="115"/>
      <c r="C30" s="257"/>
      <c r="D30" s="258" t="s">
        <v>11</v>
      </c>
      <c r="E30" s="79">
        <v>2057.7199999999998</v>
      </c>
      <c r="F30" s="407">
        <v>0</v>
      </c>
      <c r="G30" s="407">
        <v>0</v>
      </c>
      <c r="H30" s="407">
        <v>0</v>
      </c>
      <c r="I30" s="80">
        <v>0</v>
      </c>
      <c r="J30" s="259">
        <v>2057.7199999999998</v>
      </c>
      <c r="K30" s="449">
        <v>0</v>
      </c>
      <c r="L30" s="260">
        <v>2280145.1691144002</v>
      </c>
      <c r="M30" s="449">
        <v>0</v>
      </c>
      <c r="N30" s="260">
        <v>283724.67</v>
      </c>
      <c r="P30" s="407">
        <v>0</v>
      </c>
      <c r="Q30" s="407">
        <v>0</v>
      </c>
      <c r="R30" s="407">
        <v>0</v>
      </c>
      <c r="S30" s="407">
        <v>0</v>
      </c>
      <c r="T30" s="407">
        <v>0</v>
      </c>
      <c r="U30" s="420">
        <v>0</v>
      </c>
      <c r="W30" s="72" t="s">
        <v>8</v>
      </c>
      <c r="X30" s="72" t="s">
        <v>1</v>
      </c>
      <c r="Y30" s="72" t="s">
        <v>46</v>
      </c>
      <c r="Z30" s="72" t="s">
        <v>24</v>
      </c>
    </row>
    <row r="31" spans="1:28" x14ac:dyDescent="0.2">
      <c r="A31" s="115"/>
      <c r="B31" s="115"/>
      <c r="C31" s="261" t="str">
        <f>$AD$9</f>
        <v>PGT (Other)</v>
      </c>
      <c r="D31" s="262" t="s">
        <v>12</v>
      </c>
      <c r="E31" s="84">
        <v>1061.8800000000001</v>
      </c>
      <c r="F31" s="408">
        <v>0</v>
      </c>
      <c r="G31" s="408">
        <v>0</v>
      </c>
      <c r="H31" s="408">
        <v>0</v>
      </c>
      <c r="I31" s="86">
        <v>0</v>
      </c>
      <c r="J31" s="263">
        <v>1061.8800000000001</v>
      </c>
      <c r="K31" s="265">
        <v>1168068</v>
      </c>
      <c r="L31" s="447">
        <v>0</v>
      </c>
      <c r="M31" s="447">
        <v>0</v>
      </c>
      <c r="N31" s="265">
        <v>70916.91</v>
      </c>
      <c r="P31" s="408">
        <v>0</v>
      </c>
      <c r="Q31" s="408">
        <v>0</v>
      </c>
      <c r="R31" s="408">
        <v>0</v>
      </c>
      <c r="S31" s="408">
        <v>0</v>
      </c>
      <c r="T31" s="408">
        <v>0</v>
      </c>
      <c r="U31" s="422">
        <v>0</v>
      </c>
      <c r="W31" s="72" t="s">
        <v>8</v>
      </c>
      <c r="X31" s="72" t="s">
        <v>1</v>
      </c>
      <c r="Y31" s="72" t="s">
        <v>47</v>
      </c>
      <c r="Z31" s="72" t="s">
        <v>23</v>
      </c>
    </row>
    <row r="32" spans="1:28" x14ac:dyDescent="0.2">
      <c r="A32" s="272"/>
      <c r="B32" s="272"/>
      <c r="C32" s="272"/>
      <c r="D32" s="180" t="s">
        <v>11</v>
      </c>
      <c r="E32" s="90">
        <v>747.47</v>
      </c>
      <c r="F32" s="409">
        <v>0</v>
      </c>
      <c r="G32" s="409">
        <v>0</v>
      </c>
      <c r="H32" s="409">
        <v>0</v>
      </c>
      <c r="I32" s="91">
        <v>-0.41</v>
      </c>
      <c r="J32" s="273">
        <v>747.06</v>
      </c>
      <c r="K32" s="274">
        <v>821766</v>
      </c>
      <c r="L32" s="274">
        <v>827811.97152120003</v>
      </c>
      <c r="M32" s="452">
        <v>0</v>
      </c>
      <c r="N32" s="260">
        <v>106121.29</v>
      </c>
      <c r="P32" s="409">
        <v>0</v>
      </c>
      <c r="Q32" s="409">
        <v>0</v>
      </c>
      <c r="R32" s="409">
        <v>0</v>
      </c>
      <c r="S32" s="409">
        <v>0</v>
      </c>
      <c r="T32" s="409">
        <v>0</v>
      </c>
      <c r="U32" s="421">
        <v>0</v>
      </c>
      <c r="W32" s="72" t="s">
        <v>8</v>
      </c>
      <c r="X32" s="72" t="s">
        <v>1</v>
      </c>
      <c r="Y32" s="72" t="s">
        <v>47</v>
      </c>
      <c r="Z32" s="72" t="s">
        <v>24</v>
      </c>
    </row>
    <row r="33" spans="1:26" x14ac:dyDescent="0.2">
      <c r="A33" s="253" t="s">
        <v>26</v>
      </c>
      <c r="B33" s="115" t="s">
        <v>219</v>
      </c>
      <c r="C33" s="115" t="s">
        <v>6</v>
      </c>
      <c r="D33" s="254" t="s">
        <v>12</v>
      </c>
      <c r="E33" s="93">
        <v>213251.65</v>
      </c>
      <c r="F33" s="94">
        <v>14596</v>
      </c>
      <c r="G33" s="414">
        <v>0</v>
      </c>
      <c r="H33" s="414">
        <v>0</v>
      </c>
      <c r="I33" s="94">
        <v>0</v>
      </c>
      <c r="J33" s="255">
        <v>227847.65</v>
      </c>
      <c r="K33" s="453">
        <v>0</v>
      </c>
      <c r="L33" s="454">
        <v>0</v>
      </c>
      <c r="M33" s="454">
        <v>0</v>
      </c>
      <c r="N33" s="256">
        <v>13007177.300000001</v>
      </c>
      <c r="P33" s="94">
        <v>13473</v>
      </c>
      <c r="Q33" s="94">
        <v>16316</v>
      </c>
      <c r="R33" s="94">
        <v>44385</v>
      </c>
      <c r="S33" s="454">
        <v>0</v>
      </c>
      <c r="T33" s="414">
        <v>0</v>
      </c>
      <c r="U33" s="95">
        <v>1519147</v>
      </c>
      <c r="W33" s="72" t="s">
        <v>26</v>
      </c>
      <c r="X33" s="72" t="s">
        <v>2</v>
      </c>
      <c r="Y33" s="72" t="s">
        <v>6</v>
      </c>
      <c r="Z33" s="72" t="s">
        <v>23</v>
      </c>
    </row>
    <row r="34" spans="1:26" x14ac:dyDescent="0.2">
      <c r="A34" s="115"/>
      <c r="B34" s="115"/>
      <c r="C34" s="257"/>
      <c r="D34" s="258" t="s">
        <v>11</v>
      </c>
      <c r="E34" s="79">
        <v>830.37</v>
      </c>
      <c r="F34" s="80">
        <v>0</v>
      </c>
      <c r="G34" s="407">
        <v>0</v>
      </c>
      <c r="H34" s="407">
        <v>0</v>
      </c>
      <c r="I34" s="80">
        <v>0</v>
      </c>
      <c r="J34" s="259">
        <v>830.37</v>
      </c>
      <c r="K34" s="448">
        <v>0</v>
      </c>
      <c r="L34" s="449">
        <v>0</v>
      </c>
      <c r="M34" s="260">
        <v>913475.58025829995</v>
      </c>
      <c r="N34" s="260">
        <v>45593.31</v>
      </c>
      <c r="P34" s="80">
        <v>0</v>
      </c>
      <c r="Q34" s="80">
        <v>0</v>
      </c>
      <c r="R34" s="80">
        <v>0</v>
      </c>
      <c r="S34" s="449">
        <v>0</v>
      </c>
      <c r="T34" s="81">
        <v>0</v>
      </c>
      <c r="U34" s="81">
        <v>0</v>
      </c>
      <c r="W34" s="72" t="s">
        <v>26</v>
      </c>
      <c r="X34" s="72" t="s">
        <v>2</v>
      </c>
      <c r="Y34" s="72" t="s">
        <v>6</v>
      </c>
      <c r="Z34" s="72" t="s">
        <v>24</v>
      </c>
    </row>
    <row r="35" spans="1:26" x14ac:dyDescent="0.2">
      <c r="A35" s="115"/>
      <c r="B35" s="115"/>
      <c r="C35" s="261" t="str">
        <f>$AD$7</f>
        <v>PGT (UG fee)</v>
      </c>
      <c r="D35" s="254" t="s">
        <v>12</v>
      </c>
      <c r="E35" s="84">
        <v>1104</v>
      </c>
      <c r="F35" s="408">
        <v>0</v>
      </c>
      <c r="G35" s="86">
        <v>1239</v>
      </c>
      <c r="H35" s="408">
        <v>0</v>
      </c>
      <c r="I35" s="86">
        <v>0</v>
      </c>
      <c r="J35" s="263">
        <v>2343</v>
      </c>
      <c r="K35" s="446">
        <v>0</v>
      </c>
      <c r="L35" s="447">
        <v>0</v>
      </c>
      <c r="M35" s="447">
        <v>0</v>
      </c>
      <c r="N35" s="264">
        <v>281425</v>
      </c>
      <c r="P35" s="408">
        <v>0</v>
      </c>
      <c r="Q35" s="86">
        <v>1092</v>
      </c>
      <c r="R35" s="86">
        <v>2331</v>
      </c>
      <c r="S35" s="447">
        <v>0</v>
      </c>
      <c r="T35" s="408">
        <v>0</v>
      </c>
      <c r="U35" s="87">
        <v>277333</v>
      </c>
      <c r="W35" s="72" t="s">
        <v>26</v>
      </c>
      <c r="X35" s="72" t="s">
        <v>2</v>
      </c>
      <c r="Y35" s="72" t="s">
        <v>33</v>
      </c>
      <c r="Z35" s="72" t="s">
        <v>23</v>
      </c>
    </row>
    <row r="36" spans="1:26" x14ac:dyDescent="0.2">
      <c r="A36" s="115"/>
      <c r="B36" s="115"/>
      <c r="C36" s="257"/>
      <c r="D36" s="258" t="s">
        <v>11</v>
      </c>
      <c r="E36" s="79">
        <v>0</v>
      </c>
      <c r="F36" s="407">
        <v>0</v>
      </c>
      <c r="G36" s="80">
        <v>0</v>
      </c>
      <c r="H36" s="407">
        <v>0</v>
      </c>
      <c r="I36" s="80">
        <v>0</v>
      </c>
      <c r="J36" s="259">
        <v>0</v>
      </c>
      <c r="K36" s="448">
        <v>0</v>
      </c>
      <c r="L36" s="260">
        <v>0</v>
      </c>
      <c r="M36" s="449">
        <v>0</v>
      </c>
      <c r="N36" s="260">
        <v>0</v>
      </c>
      <c r="P36" s="407">
        <v>0</v>
      </c>
      <c r="Q36" s="80">
        <v>0</v>
      </c>
      <c r="R36" s="80">
        <v>0</v>
      </c>
      <c r="S36" s="81">
        <v>0</v>
      </c>
      <c r="T36" s="407">
        <v>0</v>
      </c>
      <c r="U36" s="81">
        <v>0</v>
      </c>
      <c r="W36" s="72" t="s">
        <v>26</v>
      </c>
      <c r="X36" s="72" t="s">
        <v>2</v>
      </c>
      <c r="Y36" s="72" t="s">
        <v>33</v>
      </c>
      <c r="Z36" s="72" t="s">
        <v>24</v>
      </c>
    </row>
    <row r="37" spans="1:26" x14ac:dyDescent="0.2">
      <c r="A37" s="115"/>
      <c r="B37" s="115"/>
      <c r="C37" s="261" t="str">
        <f>$AD$8</f>
        <v>PGT (Masters' loan)</v>
      </c>
      <c r="D37" s="262" t="s">
        <v>12</v>
      </c>
      <c r="E37" s="84">
        <v>2804.36</v>
      </c>
      <c r="F37" s="408">
        <v>0</v>
      </c>
      <c r="G37" s="408">
        <v>0</v>
      </c>
      <c r="H37" s="408">
        <v>0</v>
      </c>
      <c r="I37" s="86">
        <v>0</v>
      </c>
      <c r="J37" s="263">
        <v>2804.36</v>
      </c>
      <c r="K37" s="447">
        <v>0</v>
      </c>
      <c r="L37" s="446">
        <v>0</v>
      </c>
      <c r="M37" s="447">
        <v>0</v>
      </c>
      <c r="N37" s="264">
        <v>570244.93000000005</v>
      </c>
      <c r="P37" s="408">
        <v>0</v>
      </c>
      <c r="Q37" s="408">
        <v>0</v>
      </c>
      <c r="R37" s="408">
        <v>0</v>
      </c>
      <c r="S37" s="408">
        <v>0</v>
      </c>
      <c r="T37" s="408">
        <v>0</v>
      </c>
      <c r="U37" s="422">
        <v>0</v>
      </c>
      <c r="W37" s="72" t="s">
        <v>26</v>
      </c>
      <c r="X37" s="72" t="s">
        <v>2</v>
      </c>
      <c r="Y37" s="72" t="s">
        <v>46</v>
      </c>
      <c r="Z37" s="72" t="s">
        <v>23</v>
      </c>
    </row>
    <row r="38" spans="1:26" x14ac:dyDescent="0.2">
      <c r="A38" s="115"/>
      <c r="B38" s="115"/>
      <c r="C38" s="257"/>
      <c r="D38" s="258" t="s">
        <v>11</v>
      </c>
      <c r="E38" s="79">
        <v>8060.63</v>
      </c>
      <c r="F38" s="407">
        <v>0</v>
      </c>
      <c r="G38" s="407">
        <v>0</v>
      </c>
      <c r="H38" s="407">
        <v>0</v>
      </c>
      <c r="I38" s="80">
        <v>0</v>
      </c>
      <c r="J38" s="259">
        <v>8060.63</v>
      </c>
      <c r="K38" s="449">
        <v>0</v>
      </c>
      <c r="L38" s="260">
        <v>6830297.7551074997</v>
      </c>
      <c r="M38" s="449">
        <v>0</v>
      </c>
      <c r="N38" s="260">
        <v>1073645.28</v>
      </c>
      <c r="P38" s="407">
        <v>0</v>
      </c>
      <c r="Q38" s="407">
        <v>0</v>
      </c>
      <c r="R38" s="407">
        <v>0</v>
      </c>
      <c r="S38" s="407">
        <v>0</v>
      </c>
      <c r="T38" s="407">
        <v>0</v>
      </c>
      <c r="U38" s="420">
        <v>0</v>
      </c>
      <c r="W38" s="72" t="s">
        <v>26</v>
      </c>
      <c r="X38" s="72" t="s">
        <v>2</v>
      </c>
      <c r="Y38" s="72" t="s">
        <v>46</v>
      </c>
      <c r="Z38" s="72" t="s">
        <v>24</v>
      </c>
    </row>
    <row r="39" spans="1:26" x14ac:dyDescent="0.2">
      <c r="A39" s="115"/>
      <c r="B39" s="115"/>
      <c r="C39" s="261" t="str">
        <f>$AD$9</f>
        <v>PGT (Other)</v>
      </c>
      <c r="D39" s="262" t="s">
        <v>12</v>
      </c>
      <c r="E39" s="84">
        <v>194</v>
      </c>
      <c r="F39" s="408">
        <v>0</v>
      </c>
      <c r="G39" s="408">
        <v>0</v>
      </c>
      <c r="H39" s="408">
        <v>0</v>
      </c>
      <c r="I39" s="86">
        <v>0</v>
      </c>
      <c r="J39" s="263">
        <v>194</v>
      </c>
      <c r="K39" s="265">
        <v>213400</v>
      </c>
      <c r="L39" s="447">
        <v>0</v>
      </c>
      <c r="M39" s="447">
        <v>0</v>
      </c>
      <c r="N39" s="265">
        <v>41946.11</v>
      </c>
      <c r="P39" s="408">
        <v>0</v>
      </c>
      <c r="Q39" s="408">
        <v>0</v>
      </c>
      <c r="R39" s="408">
        <v>0</v>
      </c>
      <c r="S39" s="408">
        <v>0</v>
      </c>
      <c r="T39" s="408">
        <v>0</v>
      </c>
      <c r="U39" s="422">
        <v>0</v>
      </c>
      <c r="W39" s="72" t="s">
        <v>26</v>
      </c>
      <c r="X39" s="72" t="s">
        <v>2</v>
      </c>
      <c r="Y39" s="72" t="s">
        <v>47</v>
      </c>
      <c r="Z39" s="72" t="s">
        <v>23</v>
      </c>
    </row>
    <row r="40" spans="1:26" x14ac:dyDescent="0.2">
      <c r="A40" s="115"/>
      <c r="B40" s="266"/>
      <c r="C40" s="266"/>
      <c r="D40" s="267" t="s">
        <v>11</v>
      </c>
      <c r="E40" s="268">
        <v>76.790000000000006</v>
      </c>
      <c r="F40" s="441">
        <v>0</v>
      </c>
      <c r="G40" s="441">
        <v>0</v>
      </c>
      <c r="H40" s="441">
        <v>0</v>
      </c>
      <c r="I40" s="269">
        <v>0</v>
      </c>
      <c r="J40" s="270">
        <v>76.790000000000006</v>
      </c>
      <c r="K40" s="271">
        <v>84469</v>
      </c>
      <c r="L40" s="271">
        <v>65069.177547500003</v>
      </c>
      <c r="M40" s="450">
        <v>0</v>
      </c>
      <c r="N40" s="271">
        <v>3487</v>
      </c>
      <c r="P40" s="441">
        <v>0</v>
      </c>
      <c r="Q40" s="441">
        <v>0</v>
      </c>
      <c r="R40" s="441">
        <v>0</v>
      </c>
      <c r="S40" s="441">
        <v>0</v>
      </c>
      <c r="T40" s="441">
        <v>0</v>
      </c>
      <c r="U40" s="471">
        <v>0</v>
      </c>
      <c r="W40" s="72" t="s">
        <v>26</v>
      </c>
      <c r="X40" s="72" t="s">
        <v>2</v>
      </c>
      <c r="Y40" s="72" t="s">
        <v>47</v>
      </c>
      <c r="Z40" s="72" t="s">
        <v>24</v>
      </c>
    </row>
    <row r="41" spans="1:26" x14ac:dyDescent="0.2">
      <c r="A41" s="115"/>
      <c r="B41" s="115" t="s">
        <v>223</v>
      </c>
      <c r="C41" s="115" t="s">
        <v>6</v>
      </c>
      <c r="D41" s="254" t="s">
        <v>12</v>
      </c>
      <c r="E41" s="93">
        <v>6276.76</v>
      </c>
      <c r="F41" s="94">
        <v>220.5</v>
      </c>
      <c r="G41" s="414">
        <v>0</v>
      </c>
      <c r="H41" s="414">
        <v>0</v>
      </c>
      <c r="I41" s="94">
        <v>0</v>
      </c>
      <c r="J41" s="255">
        <v>6497.26</v>
      </c>
      <c r="K41" s="446">
        <v>0</v>
      </c>
      <c r="L41" s="451">
        <v>0</v>
      </c>
      <c r="M41" s="451">
        <v>0</v>
      </c>
      <c r="N41" s="264">
        <v>237723.71</v>
      </c>
      <c r="P41" s="94">
        <v>167.64</v>
      </c>
      <c r="Q41" s="94">
        <v>186.26</v>
      </c>
      <c r="R41" s="94">
        <v>574.4</v>
      </c>
      <c r="S41" s="414">
        <v>0</v>
      </c>
      <c r="T41" s="414">
        <v>0</v>
      </c>
      <c r="U41" s="95">
        <v>11066.71</v>
      </c>
      <c r="W41" s="72" t="s">
        <v>26</v>
      </c>
      <c r="X41" s="72" t="s">
        <v>1</v>
      </c>
      <c r="Y41" s="72" t="s">
        <v>6</v>
      </c>
      <c r="Z41" s="72" t="s">
        <v>23</v>
      </c>
    </row>
    <row r="42" spans="1:26" x14ac:dyDescent="0.2">
      <c r="A42" s="115"/>
      <c r="B42" s="115"/>
      <c r="C42" s="257"/>
      <c r="D42" s="258" t="s">
        <v>11</v>
      </c>
      <c r="E42" s="79">
        <v>43.07</v>
      </c>
      <c r="F42" s="80">
        <v>0</v>
      </c>
      <c r="G42" s="407">
        <v>0</v>
      </c>
      <c r="H42" s="407">
        <v>0</v>
      </c>
      <c r="I42" s="80">
        <v>0</v>
      </c>
      <c r="J42" s="259">
        <v>43.07</v>
      </c>
      <c r="K42" s="448">
        <v>0</v>
      </c>
      <c r="L42" s="449">
        <v>0</v>
      </c>
      <c r="M42" s="449">
        <v>0</v>
      </c>
      <c r="N42" s="260">
        <v>2960.1</v>
      </c>
      <c r="P42" s="80">
        <v>0</v>
      </c>
      <c r="Q42" s="80">
        <v>0</v>
      </c>
      <c r="R42" s="80">
        <v>0</v>
      </c>
      <c r="S42" s="407">
        <v>0</v>
      </c>
      <c r="T42" s="407">
        <v>0</v>
      </c>
      <c r="U42" s="81">
        <v>0</v>
      </c>
      <c r="W42" s="72" t="s">
        <v>26</v>
      </c>
      <c r="X42" s="72" t="s">
        <v>1</v>
      </c>
      <c r="Y42" s="72" t="s">
        <v>6</v>
      </c>
      <c r="Z42" s="72" t="s">
        <v>24</v>
      </c>
    </row>
    <row r="43" spans="1:26" x14ac:dyDescent="0.2">
      <c r="A43" s="115"/>
      <c r="B43" s="115"/>
      <c r="C43" s="261" t="str">
        <f>$AD$7</f>
        <v>PGT (UG fee)</v>
      </c>
      <c r="D43" s="254" t="s">
        <v>12</v>
      </c>
      <c r="E43" s="84">
        <v>1.17</v>
      </c>
      <c r="F43" s="408">
        <v>0</v>
      </c>
      <c r="G43" s="86">
        <v>8.5299999999999994</v>
      </c>
      <c r="H43" s="408">
        <v>0</v>
      </c>
      <c r="I43" s="86">
        <v>0</v>
      </c>
      <c r="J43" s="263">
        <v>9.6999999999999993</v>
      </c>
      <c r="K43" s="455">
        <v>0</v>
      </c>
      <c r="L43" s="447">
        <v>0</v>
      </c>
      <c r="M43" s="447">
        <v>0</v>
      </c>
      <c r="N43" s="265">
        <v>1677.08</v>
      </c>
      <c r="P43" s="408">
        <v>0</v>
      </c>
      <c r="Q43" s="86">
        <v>0.65</v>
      </c>
      <c r="R43" s="86">
        <v>9.18</v>
      </c>
      <c r="S43" s="408">
        <v>0</v>
      </c>
      <c r="T43" s="408">
        <v>0</v>
      </c>
      <c r="U43" s="87">
        <v>1642.98</v>
      </c>
      <c r="W43" s="72" t="s">
        <v>26</v>
      </c>
      <c r="X43" s="72" t="s">
        <v>1</v>
      </c>
      <c r="Y43" s="72" t="s">
        <v>33</v>
      </c>
      <c r="Z43" s="72" t="s">
        <v>23</v>
      </c>
    </row>
    <row r="44" spans="1:26" x14ac:dyDescent="0.2">
      <c r="A44" s="115"/>
      <c r="B44" s="115"/>
      <c r="C44" s="257"/>
      <c r="D44" s="258" t="s">
        <v>11</v>
      </c>
      <c r="E44" s="79">
        <v>0</v>
      </c>
      <c r="F44" s="407">
        <v>0</v>
      </c>
      <c r="G44" s="80">
        <v>0</v>
      </c>
      <c r="H44" s="407">
        <v>0</v>
      </c>
      <c r="I44" s="80">
        <v>0</v>
      </c>
      <c r="J44" s="259">
        <v>0</v>
      </c>
      <c r="K44" s="448">
        <v>0</v>
      </c>
      <c r="L44" s="260">
        <v>0</v>
      </c>
      <c r="M44" s="449">
        <v>0</v>
      </c>
      <c r="N44" s="260">
        <v>0</v>
      </c>
      <c r="P44" s="407">
        <v>0</v>
      </c>
      <c r="Q44" s="80">
        <v>0</v>
      </c>
      <c r="R44" s="80">
        <v>0</v>
      </c>
      <c r="S44" s="81">
        <v>0</v>
      </c>
      <c r="T44" s="407">
        <v>0</v>
      </c>
      <c r="U44" s="81">
        <v>0</v>
      </c>
      <c r="W44" s="72" t="s">
        <v>26</v>
      </c>
      <c r="X44" s="72" t="s">
        <v>1</v>
      </c>
      <c r="Y44" s="72" t="s">
        <v>33</v>
      </c>
      <c r="Z44" s="72" t="s">
        <v>24</v>
      </c>
    </row>
    <row r="45" spans="1:26" x14ac:dyDescent="0.2">
      <c r="A45" s="115"/>
      <c r="B45" s="115"/>
      <c r="C45" s="261" t="str">
        <f>$AD$8</f>
        <v>PGT (Masters' loan)</v>
      </c>
      <c r="D45" s="262" t="s">
        <v>12</v>
      </c>
      <c r="E45" s="84">
        <v>638.32000000000005</v>
      </c>
      <c r="F45" s="408">
        <v>0</v>
      </c>
      <c r="G45" s="408">
        <v>0</v>
      </c>
      <c r="H45" s="408">
        <v>0</v>
      </c>
      <c r="I45" s="86">
        <v>0</v>
      </c>
      <c r="J45" s="263">
        <v>638.32000000000005</v>
      </c>
      <c r="K45" s="447">
        <v>0</v>
      </c>
      <c r="L45" s="446">
        <v>0</v>
      </c>
      <c r="M45" s="447">
        <v>0</v>
      </c>
      <c r="N45" s="265">
        <v>65938.42</v>
      </c>
      <c r="P45" s="408">
        <v>0</v>
      </c>
      <c r="Q45" s="408">
        <v>0</v>
      </c>
      <c r="R45" s="408">
        <v>0</v>
      </c>
      <c r="S45" s="408">
        <v>0</v>
      </c>
      <c r="T45" s="408">
        <v>0</v>
      </c>
      <c r="U45" s="422">
        <v>0</v>
      </c>
      <c r="W45" s="72" t="s">
        <v>26</v>
      </c>
      <c r="X45" s="72" t="s">
        <v>1</v>
      </c>
      <c r="Y45" s="72" t="s">
        <v>46</v>
      </c>
      <c r="Z45" s="72" t="s">
        <v>23</v>
      </c>
    </row>
    <row r="46" spans="1:26" x14ac:dyDescent="0.2">
      <c r="A46" s="115"/>
      <c r="B46" s="115"/>
      <c r="C46" s="257"/>
      <c r="D46" s="258" t="s">
        <v>11</v>
      </c>
      <c r="E46" s="79">
        <v>2174.09</v>
      </c>
      <c r="F46" s="407">
        <v>0</v>
      </c>
      <c r="G46" s="407">
        <v>0</v>
      </c>
      <c r="H46" s="407">
        <v>0</v>
      </c>
      <c r="I46" s="80">
        <v>0</v>
      </c>
      <c r="J46" s="259">
        <v>2174.09</v>
      </c>
      <c r="K46" s="449">
        <v>0</v>
      </c>
      <c r="L46" s="260">
        <v>1842248.3163725</v>
      </c>
      <c r="M46" s="449">
        <v>0</v>
      </c>
      <c r="N46" s="260">
        <v>260537.75</v>
      </c>
      <c r="P46" s="407">
        <v>0</v>
      </c>
      <c r="Q46" s="407">
        <v>0</v>
      </c>
      <c r="R46" s="407">
        <v>0</v>
      </c>
      <c r="S46" s="407">
        <v>0</v>
      </c>
      <c r="T46" s="407">
        <v>0</v>
      </c>
      <c r="U46" s="420">
        <v>0</v>
      </c>
      <c r="W46" s="72" t="s">
        <v>26</v>
      </c>
      <c r="X46" s="72" t="s">
        <v>1</v>
      </c>
      <c r="Y46" s="72" t="s">
        <v>46</v>
      </c>
      <c r="Z46" s="72" t="s">
        <v>24</v>
      </c>
    </row>
    <row r="47" spans="1:26" x14ac:dyDescent="0.2">
      <c r="A47" s="115"/>
      <c r="B47" s="115"/>
      <c r="C47" s="261" t="str">
        <f>$AD$9</f>
        <v>PGT (Other)</v>
      </c>
      <c r="D47" s="262" t="s">
        <v>12</v>
      </c>
      <c r="E47" s="84">
        <v>154.76</v>
      </c>
      <c r="F47" s="408">
        <v>0</v>
      </c>
      <c r="G47" s="408">
        <v>0</v>
      </c>
      <c r="H47" s="408">
        <v>0</v>
      </c>
      <c r="I47" s="86">
        <v>0</v>
      </c>
      <c r="J47" s="263">
        <v>154.76</v>
      </c>
      <c r="K47" s="265">
        <v>170236</v>
      </c>
      <c r="L47" s="447">
        <v>0</v>
      </c>
      <c r="M47" s="447">
        <v>0</v>
      </c>
      <c r="N47" s="265">
        <v>28659.95</v>
      </c>
      <c r="P47" s="408">
        <v>0</v>
      </c>
      <c r="Q47" s="408">
        <v>0</v>
      </c>
      <c r="R47" s="408">
        <v>0</v>
      </c>
      <c r="S47" s="408">
        <v>0</v>
      </c>
      <c r="T47" s="408">
        <v>0</v>
      </c>
      <c r="U47" s="422">
        <v>0</v>
      </c>
      <c r="W47" s="72" t="s">
        <v>26</v>
      </c>
      <c r="X47" s="72" t="s">
        <v>1</v>
      </c>
      <c r="Y47" s="72" t="s">
        <v>47</v>
      </c>
      <c r="Z47" s="72" t="s">
        <v>23</v>
      </c>
    </row>
    <row r="48" spans="1:26" x14ac:dyDescent="0.2">
      <c r="A48" s="272"/>
      <c r="B48" s="272"/>
      <c r="C48" s="272"/>
      <c r="D48" s="180" t="s">
        <v>11</v>
      </c>
      <c r="E48" s="90">
        <v>138.01</v>
      </c>
      <c r="F48" s="409">
        <v>0</v>
      </c>
      <c r="G48" s="409">
        <v>0</v>
      </c>
      <c r="H48" s="409">
        <v>0</v>
      </c>
      <c r="I48" s="91">
        <v>0</v>
      </c>
      <c r="J48" s="273">
        <v>138.01</v>
      </c>
      <c r="K48" s="275">
        <v>151811</v>
      </c>
      <c r="L48" s="275">
        <v>116944.87815249999</v>
      </c>
      <c r="M48" s="456">
        <v>0</v>
      </c>
      <c r="N48" s="275">
        <v>7638.29</v>
      </c>
      <c r="P48" s="409">
        <v>0</v>
      </c>
      <c r="Q48" s="409">
        <v>0</v>
      </c>
      <c r="R48" s="409">
        <v>0</v>
      </c>
      <c r="S48" s="409">
        <v>0</v>
      </c>
      <c r="T48" s="409">
        <v>0</v>
      </c>
      <c r="U48" s="421">
        <v>0</v>
      </c>
      <c r="W48" s="72" t="s">
        <v>26</v>
      </c>
      <c r="X48" s="72" t="s">
        <v>1</v>
      </c>
      <c r="Y48" s="72" t="s">
        <v>47</v>
      </c>
      <c r="Z48" s="72" t="s">
        <v>24</v>
      </c>
    </row>
    <row r="49" spans="1:26" x14ac:dyDescent="0.2">
      <c r="A49" s="253" t="s">
        <v>27</v>
      </c>
      <c r="B49" s="115" t="s">
        <v>219</v>
      </c>
      <c r="C49" s="115" t="s">
        <v>6</v>
      </c>
      <c r="D49" s="254" t="s">
        <v>12</v>
      </c>
      <c r="E49" s="93">
        <v>190657.83</v>
      </c>
      <c r="F49" s="414">
        <v>0</v>
      </c>
      <c r="G49" s="414">
        <v>0</v>
      </c>
      <c r="H49" s="414">
        <v>0</v>
      </c>
      <c r="I49" s="94">
        <v>0</v>
      </c>
      <c r="J49" s="255">
        <v>190657.83</v>
      </c>
      <c r="K49" s="453">
        <v>0</v>
      </c>
      <c r="L49" s="454">
        <v>0</v>
      </c>
      <c r="M49" s="454">
        <v>0</v>
      </c>
      <c r="N49" s="256">
        <v>7743306.9800000004</v>
      </c>
      <c r="P49" s="414">
        <v>0</v>
      </c>
      <c r="Q49" s="414">
        <v>0</v>
      </c>
      <c r="R49" s="414">
        <v>0</v>
      </c>
      <c r="S49" s="414">
        <v>0</v>
      </c>
      <c r="T49" s="414">
        <v>0</v>
      </c>
      <c r="U49" s="470">
        <v>0</v>
      </c>
      <c r="W49" s="72" t="s">
        <v>27</v>
      </c>
      <c r="X49" s="72" t="s">
        <v>2</v>
      </c>
      <c r="Y49" s="72" t="s">
        <v>6</v>
      </c>
      <c r="Z49" s="72" t="s">
        <v>23</v>
      </c>
    </row>
    <row r="50" spans="1:26" x14ac:dyDescent="0.2">
      <c r="A50" s="115"/>
      <c r="B50" s="115"/>
      <c r="C50" s="257"/>
      <c r="D50" s="258" t="s">
        <v>11</v>
      </c>
      <c r="E50" s="79">
        <v>591.28</v>
      </c>
      <c r="F50" s="407">
        <v>0</v>
      </c>
      <c r="G50" s="407">
        <v>0</v>
      </c>
      <c r="H50" s="407">
        <v>0</v>
      </c>
      <c r="I50" s="80">
        <v>0</v>
      </c>
      <c r="J50" s="259">
        <v>591.28</v>
      </c>
      <c r="K50" s="457">
        <v>0</v>
      </c>
      <c r="L50" s="449">
        <v>0</v>
      </c>
      <c r="M50" s="260">
        <v>650456.83381520002</v>
      </c>
      <c r="N50" s="274">
        <v>26321.51</v>
      </c>
      <c r="P50" s="407">
        <v>0</v>
      </c>
      <c r="Q50" s="407">
        <v>0</v>
      </c>
      <c r="R50" s="407">
        <v>0</v>
      </c>
      <c r="S50" s="407">
        <v>0</v>
      </c>
      <c r="T50" s="407">
        <v>0</v>
      </c>
      <c r="U50" s="420">
        <v>0</v>
      </c>
      <c r="W50" s="72" t="s">
        <v>27</v>
      </c>
      <c r="X50" s="72" t="s">
        <v>2</v>
      </c>
      <c r="Y50" s="72" t="s">
        <v>6</v>
      </c>
      <c r="Z50" s="72" t="s">
        <v>24</v>
      </c>
    </row>
    <row r="51" spans="1:26" x14ac:dyDescent="0.2">
      <c r="A51" s="115"/>
      <c r="B51" s="115"/>
      <c r="C51" s="261" t="str">
        <f>$AD$7</f>
        <v>PGT (UG fee)</v>
      </c>
      <c r="D51" s="254" t="s">
        <v>12</v>
      </c>
      <c r="E51" s="84">
        <v>2763.24</v>
      </c>
      <c r="F51" s="408">
        <v>0</v>
      </c>
      <c r="G51" s="408">
        <v>0</v>
      </c>
      <c r="H51" s="408">
        <v>0</v>
      </c>
      <c r="I51" s="86">
        <v>0</v>
      </c>
      <c r="J51" s="263">
        <v>2763.24</v>
      </c>
      <c r="K51" s="455">
        <v>0</v>
      </c>
      <c r="L51" s="447">
        <v>0</v>
      </c>
      <c r="M51" s="447">
        <v>0</v>
      </c>
      <c r="N51" s="265">
        <v>247241</v>
      </c>
      <c r="P51" s="408">
        <v>0</v>
      </c>
      <c r="Q51" s="408">
        <v>0</v>
      </c>
      <c r="R51" s="408">
        <v>0</v>
      </c>
      <c r="S51" s="408">
        <v>0</v>
      </c>
      <c r="T51" s="408">
        <v>0</v>
      </c>
      <c r="U51" s="422">
        <v>0</v>
      </c>
      <c r="W51" s="72" t="s">
        <v>27</v>
      </c>
      <c r="X51" s="72" t="s">
        <v>2</v>
      </c>
      <c r="Y51" s="72" t="s">
        <v>33</v>
      </c>
      <c r="Z51" s="72" t="s">
        <v>23</v>
      </c>
    </row>
    <row r="52" spans="1:26" x14ac:dyDescent="0.2">
      <c r="A52" s="115"/>
      <c r="B52" s="115"/>
      <c r="C52" s="257"/>
      <c r="D52" s="258" t="s">
        <v>11</v>
      </c>
      <c r="E52" s="79">
        <v>46</v>
      </c>
      <c r="F52" s="407">
        <v>0</v>
      </c>
      <c r="G52" s="407">
        <v>0</v>
      </c>
      <c r="H52" s="407">
        <v>0</v>
      </c>
      <c r="I52" s="80">
        <v>0</v>
      </c>
      <c r="J52" s="259">
        <v>46</v>
      </c>
      <c r="K52" s="448">
        <v>0</v>
      </c>
      <c r="L52" s="260">
        <v>38978.801500000001</v>
      </c>
      <c r="M52" s="449">
        <v>0</v>
      </c>
      <c r="N52" s="260">
        <v>24</v>
      </c>
      <c r="P52" s="407">
        <v>0</v>
      </c>
      <c r="Q52" s="407">
        <v>0</v>
      </c>
      <c r="R52" s="407">
        <v>0</v>
      </c>
      <c r="S52" s="407">
        <v>0</v>
      </c>
      <c r="T52" s="407">
        <v>0</v>
      </c>
      <c r="U52" s="420">
        <v>0</v>
      </c>
      <c r="W52" s="72" t="s">
        <v>27</v>
      </c>
      <c r="X52" s="72" t="s">
        <v>2</v>
      </c>
      <c r="Y52" s="72" t="s">
        <v>33</v>
      </c>
      <c r="Z52" s="72" t="s">
        <v>24</v>
      </c>
    </row>
    <row r="53" spans="1:26" x14ac:dyDescent="0.2">
      <c r="A53" s="115"/>
      <c r="B53" s="115"/>
      <c r="C53" s="261" t="str">
        <f>$AD$8</f>
        <v>PGT (Masters' loan)</v>
      </c>
      <c r="D53" s="262" t="s">
        <v>12</v>
      </c>
      <c r="E53" s="84">
        <v>2358.02</v>
      </c>
      <c r="F53" s="408">
        <v>0</v>
      </c>
      <c r="G53" s="408">
        <v>0</v>
      </c>
      <c r="H53" s="408">
        <v>0</v>
      </c>
      <c r="I53" s="86">
        <v>0</v>
      </c>
      <c r="J53" s="263">
        <v>2358.02</v>
      </c>
      <c r="K53" s="447">
        <v>0</v>
      </c>
      <c r="L53" s="446">
        <v>0</v>
      </c>
      <c r="M53" s="447">
        <v>0</v>
      </c>
      <c r="N53" s="265">
        <v>102434.68</v>
      </c>
      <c r="P53" s="408">
        <v>0</v>
      </c>
      <c r="Q53" s="408">
        <v>0</v>
      </c>
      <c r="R53" s="408">
        <v>0</v>
      </c>
      <c r="S53" s="408">
        <v>0</v>
      </c>
      <c r="T53" s="408">
        <v>0</v>
      </c>
      <c r="U53" s="422">
        <v>0</v>
      </c>
      <c r="W53" s="72" t="s">
        <v>27</v>
      </c>
      <c r="X53" s="72" t="s">
        <v>2</v>
      </c>
      <c r="Y53" s="72" t="s">
        <v>46</v>
      </c>
      <c r="Z53" s="72" t="s">
        <v>23</v>
      </c>
    </row>
    <row r="54" spans="1:26" x14ac:dyDescent="0.2">
      <c r="A54" s="115"/>
      <c r="B54" s="115"/>
      <c r="C54" s="257"/>
      <c r="D54" s="258" t="s">
        <v>11</v>
      </c>
      <c r="E54" s="79">
        <v>10018.41</v>
      </c>
      <c r="F54" s="407">
        <v>0</v>
      </c>
      <c r="G54" s="407">
        <v>0</v>
      </c>
      <c r="H54" s="407">
        <v>0</v>
      </c>
      <c r="I54" s="80">
        <v>0</v>
      </c>
      <c r="J54" s="259">
        <v>10018.41</v>
      </c>
      <c r="K54" s="449">
        <v>0</v>
      </c>
      <c r="L54" s="260">
        <v>8489252.4942524992</v>
      </c>
      <c r="M54" s="449">
        <v>0</v>
      </c>
      <c r="N54" s="260">
        <v>911669.4</v>
      </c>
      <c r="P54" s="407">
        <v>0</v>
      </c>
      <c r="Q54" s="407">
        <v>0</v>
      </c>
      <c r="R54" s="407">
        <v>0</v>
      </c>
      <c r="S54" s="407">
        <v>0</v>
      </c>
      <c r="T54" s="407">
        <v>0</v>
      </c>
      <c r="U54" s="420">
        <v>0</v>
      </c>
      <c r="W54" s="72" t="s">
        <v>27</v>
      </c>
      <c r="X54" s="72" t="s">
        <v>2</v>
      </c>
      <c r="Y54" s="72" t="s">
        <v>46</v>
      </c>
      <c r="Z54" s="72" t="s">
        <v>24</v>
      </c>
    </row>
    <row r="55" spans="1:26" x14ac:dyDescent="0.2">
      <c r="A55" s="115"/>
      <c r="B55" s="115"/>
      <c r="C55" s="261" t="str">
        <f>$AD$9</f>
        <v>PGT (Other)</v>
      </c>
      <c r="D55" s="262" t="s">
        <v>12</v>
      </c>
      <c r="E55" s="84">
        <v>735.3</v>
      </c>
      <c r="F55" s="408">
        <v>0</v>
      </c>
      <c r="G55" s="408">
        <v>0</v>
      </c>
      <c r="H55" s="408">
        <v>0</v>
      </c>
      <c r="I55" s="86">
        <v>0</v>
      </c>
      <c r="J55" s="263">
        <v>735.3</v>
      </c>
      <c r="K55" s="265">
        <v>808830</v>
      </c>
      <c r="L55" s="447">
        <v>0</v>
      </c>
      <c r="M55" s="447">
        <v>0</v>
      </c>
      <c r="N55" s="265">
        <v>18847.919999999998</v>
      </c>
      <c r="P55" s="408">
        <v>0</v>
      </c>
      <c r="Q55" s="408">
        <v>0</v>
      </c>
      <c r="R55" s="408">
        <v>0</v>
      </c>
      <c r="S55" s="408">
        <v>0</v>
      </c>
      <c r="T55" s="408">
        <v>0</v>
      </c>
      <c r="U55" s="422">
        <v>0</v>
      </c>
      <c r="W55" s="72" t="s">
        <v>27</v>
      </c>
      <c r="X55" s="72" t="s">
        <v>2</v>
      </c>
      <c r="Y55" s="72" t="s">
        <v>47</v>
      </c>
      <c r="Z55" s="72" t="s">
        <v>23</v>
      </c>
    </row>
    <row r="56" spans="1:26" x14ac:dyDescent="0.2">
      <c r="A56" s="115"/>
      <c r="B56" s="266"/>
      <c r="C56" s="266"/>
      <c r="D56" s="267" t="s">
        <v>11</v>
      </c>
      <c r="E56" s="268">
        <v>507.57</v>
      </c>
      <c r="F56" s="441">
        <v>0</v>
      </c>
      <c r="G56" s="441">
        <v>0</v>
      </c>
      <c r="H56" s="441">
        <v>0</v>
      </c>
      <c r="I56" s="269">
        <v>0</v>
      </c>
      <c r="J56" s="270">
        <v>507.57</v>
      </c>
      <c r="K56" s="271">
        <v>558327</v>
      </c>
      <c r="L56" s="271">
        <v>430097.17994250002</v>
      </c>
      <c r="M56" s="450">
        <v>0</v>
      </c>
      <c r="N56" s="271">
        <v>22898</v>
      </c>
      <c r="P56" s="441">
        <v>0</v>
      </c>
      <c r="Q56" s="441">
        <v>0</v>
      </c>
      <c r="R56" s="441">
        <v>0</v>
      </c>
      <c r="S56" s="441">
        <v>0</v>
      </c>
      <c r="T56" s="441">
        <v>0</v>
      </c>
      <c r="U56" s="471">
        <v>0</v>
      </c>
      <c r="W56" s="72" t="s">
        <v>27</v>
      </c>
      <c r="X56" s="72" t="s">
        <v>2</v>
      </c>
      <c r="Y56" s="72" t="s">
        <v>47</v>
      </c>
      <c r="Z56" s="72" t="s">
        <v>24</v>
      </c>
    </row>
    <row r="57" spans="1:26" x14ac:dyDescent="0.2">
      <c r="A57" s="115"/>
      <c r="B57" s="560" t="s">
        <v>114</v>
      </c>
      <c r="C57" s="257" t="s">
        <v>6</v>
      </c>
      <c r="D57" s="258" t="s">
        <v>12</v>
      </c>
      <c r="E57" s="276">
        <v>12622.5</v>
      </c>
      <c r="F57" s="404">
        <v>0</v>
      </c>
      <c r="G57" s="440">
        <v>0</v>
      </c>
      <c r="H57" s="440">
        <v>0</v>
      </c>
      <c r="I57" s="277">
        <v>0</v>
      </c>
      <c r="J57" s="278">
        <v>12622.5</v>
      </c>
      <c r="K57" s="458">
        <v>0</v>
      </c>
      <c r="L57" s="459">
        <v>0</v>
      </c>
      <c r="M57" s="459">
        <v>0</v>
      </c>
      <c r="N57" s="279">
        <v>239808</v>
      </c>
      <c r="P57" s="404">
        <v>0</v>
      </c>
      <c r="Q57" s="404">
        <v>0</v>
      </c>
      <c r="R57" s="277">
        <v>0</v>
      </c>
      <c r="S57" s="440">
        <v>0</v>
      </c>
      <c r="T57" s="440">
        <v>0</v>
      </c>
      <c r="U57" s="280">
        <v>0</v>
      </c>
      <c r="W57" s="72" t="s">
        <v>27</v>
      </c>
      <c r="X57" s="72" t="s">
        <v>14</v>
      </c>
      <c r="Y57" s="72" t="s">
        <v>6</v>
      </c>
      <c r="Z57" s="72" t="s">
        <v>23</v>
      </c>
    </row>
    <row r="58" spans="1:26" x14ac:dyDescent="0.2">
      <c r="A58" s="115"/>
      <c r="B58" s="560"/>
      <c r="C58" s="281" t="str">
        <f>$AD$7</f>
        <v>PGT (UG fee)</v>
      </c>
      <c r="D58" s="258" t="s">
        <v>12</v>
      </c>
      <c r="E58" s="282">
        <v>14</v>
      </c>
      <c r="F58" s="440">
        <v>0</v>
      </c>
      <c r="G58" s="283">
        <v>0</v>
      </c>
      <c r="H58" s="442">
        <v>0</v>
      </c>
      <c r="I58" s="283">
        <v>0</v>
      </c>
      <c r="J58" s="278">
        <v>14</v>
      </c>
      <c r="K58" s="458">
        <v>0</v>
      </c>
      <c r="L58" s="460">
        <v>0</v>
      </c>
      <c r="M58" s="460">
        <v>0</v>
      </c>
      <c r="N58" s="279">
        <v>0</v>
      </c>
      <c r="P58" s="442">
        <v>0</v>
      </c>
      <c r="Q58" s="283">
        <v>0</v>
      </c>
      <c r="R58" s="283">
        <v>0</v>
      </c>
      <c r="S58" s="442">
        <v>0</v>
      </c>
      <c r="T58" s="442">
        <v>0</v>
      </c>
      <c r="U58" s="280">
        <v>0</v>
      </c>
      <c r="W58" s="72" t="s">
        <v>27</v>
      </c>
      <c r="X58" s="72" t="s">
        <v>14</v>
      </c>
      <c r="Y58" s="72" t="s">
        <v>33</v>
      </c>
      <c r="Z58" s="72" t="s">
        <v>23</v>
      </c>
    </row>
    <row r="59" spans="1:26" x14ac:dyDescent="0.2">
      <c r="A59" s="115"/>
      <c r="B59" s="115"/>
      <c r="C59" s="281" t="str">
        <f>$AD$8</f>
        <v>PGT (Masters' loan)</v>
      </c>
      <c r="D59" s="258" t="s">
        <v>12</v>
      </c>
      <c r="E59" s="282">
        <v>17.5</v>
      </c>
      <c r="F59" s="442">
        <v>0</v>
      </c>
      <c r="G59" s="442">
        <v>0</v>
      </c>
      <c r="H59" s="442">
        <v>0</v>
      </c>
      <c r="I59" s="283">
        <v>0</v>
      </c>
      <c r="J59" s="278">
        <v>17.5</v>
      </c>
      <c r="K59" s="460">
        <v>0</v>
      </c>
      <c r="L59" s="460">
        <v>0</v>
      </c>
      <c r="M59" s="460">
        <v>0</v>
      </c>
      <c r="N59" s="279">
        <v>620</v>
      </c>
      <c r="P59" s="442">
        <v>0</v>
      </c>
      <c r="Q59" s="442">
        <v>0</v>
      </c>
      <c r="R59" s="442">
        <v>0</v>
      </c>
      <c r="S59" s="442">
        <v>0</v>
      </c>
      <c r="T59" s="442">
        <v>0</v>
      </c>
      <c r="U59" s="467">
        <v>0</v>
      </c>
      <c r="W59" s="72" t="s">
        <v>27</v>
      </c>
      <c r="X59" s="72" t="s">
        <v>14</v>
      </c>
      <c r="Y59" s="72" t="s">
        <v>46</v>
      </c>
      <c r="Z59" s="72" t="s">
        <v>23</v>
      </c>
    </row>
    <row r="60" spans="1:26" x14ac:dyDescent="0.2">
      <c r="A60" s="115"/>
      <c r="B60" s="266"/>
      <c r="C60" s="284" t="str">
        <f>$AD$9</f>
        <v>PGT (Other)</v>
      </c>
      <c r="D60" s="285" t="s">
        <v>12</v>
      </c>
      <c r="E60" s="286">
        <v>0</v>
      </c>
      <c r="F60" s="443">
        <v>0</v>
      </c>
      <c r="G60" s="443">
        <v>0</v>
      </c>
      <c r="H60" s="443">
        <v>0</v>
      </c>
      <c r="I60" s="287">
        <v>0</v>
      </c>
      <c r="J60" s="288">
        <v>0</v>
      </c>
      <c r="K60" s="461">
        <v>0</v>
      </c>
      <c r="L60" s="461">
        <v>0</v>
      </c>
      <c r="M60" s="461">
        <v>0</v>
      </c>
      <c r="N60" s="289">
        <v>0</v>
      </c>
      <c r="P60" s="443">
        <v>0</v>
      </c>
      <c r="Q60" s="443">
        <v>0</v>
      </c>
      <c r="R60" s="443">
        <v>0</v>
      </c>
      <c r="S60" s="443">
        <v>0</v>
      </c>
      <c r="T60" s="443">
        <v>0</v>
      </c>
      <c r="U60" s="469">
        <v>0</v>
      </c>
      <c r="W60" s="72" t="s">
        <v>27</v>
      </c>
      <c r="X60" s="72" t="s">
        <v>14</v>
      </c>
      <c r="Y60" s="72" t="s">
        <v>47</v>
      </c>
      <c r="Z60" s="72" t="s">
        <v>23</v>
      </c>
    </row>
    <row r="61" spans="1:26" x14ac:dyDescent="0.2">
      <c r="A61" s="115"/>
      <c r="B61" s="115" t="s">
        <v>223</v>
      </c>
      <c r="C61" s="115" t="s">
        <v>6</v>
      </c>
      <c r="D61" s="254" t="s">
        <v>12</v>
      </c>
      <c r="E61" s="93">
        <v>21034.27</v>
      </c>
      <c r="F61" s="414">
        <v>0</v>
      </c>
      <c r="G61" s="414">
        <v>0</v>
      </c>
      <c r="H61" s="414">
        <v>0</v>
      </c>
      <c r="I61" s="94">
        <v>0</v>
      </c>
      <c r="J61" s="255">
        <v>21034.27</v>
      </c>
      <c r="K61" s="446">
        <v>0</v>
      </c>
      <c r="L61" s="451">
        <v>0</v>
      </c>
      <c r="M61" s="451">
        <v>0</v>
      </c>
      <c r="N61" s="264">
        <v>621658.6</v>
      </c>
      <c r="P61" s="414">
        <v>0</v>
      </c>
      <c r="Q61" s="414">
        <v>0</v>
      </c>
      <c r="R61" s="414">
        <v>0</v>
      </c>
      <c r="S61" s="414">
        <v>0</v>
      </c>
      <c r="T61" s="414">
        <v>0</v>
      </c>
      <c r="U61" s="470">
        <v>0</v>
      </c>
      <c r="W61" s="72" t="s">
        <v>27</v>
      </c>
      <c r="X61" s="72" t="s">
        <v>1</v>
      </c>
      <c r="Y61" s="72" t="s">
        <v>6</v>
      </c>
      <c r="Z61" s="72" t="s">
        <v>23</v>
      </c>
    </row>
    <row r="62" spans="1:26" x14ac:dyDescent="0.2">
      <c r="A62" s="115"/>
      <c r="B62" s="115"/>
      <c r="C62" s="257"/>
      <c r="D62" s="258" t="s">
        <v>11</v>
      </c>
      <c r="E62" s="79">
        <v>50.11</v>
      </c>
      <c r="F62" s="407">
        <v>0</v>
      </c>
      <c r="G62" s="407">
        <v>0</v>
      </c>
      <c r="H62" s="407">
        <v>0</v>
      </c>
      <c r="I62" s="80">
        <v>0</v>
      </c>
      <c r="J62" s="259">
        <v>50.11</v>
      </c>
      <c r="K62" s="448">
        <v>0</v>
      </c>
      <c r="L62" s="449">
        <v>0</v>
      </c>
      <c r="M62" s="449">
        <v>0</v>
      </c>
      <c r="N62" s="260">
        <v>2046</v>
      </c>
      <c r="P62" s="407">
        <v>0</v>
      </c>
      <c r="Q62" s="407">
        <v>0</v>
      </c>
      <c r="R62" s="407">
        <v>0</v>
      </c>
      <c r="S62" s="407">
        <v>0</v>
      </c>
      <c r="T62" s="407">
        <v>0</v>
      </c>
      <c r="U62" s="420">
        <v>0</v>
      </c>
      <c r="W62" s="72" t="s">
        <v>27</v>
      </c>
      <c r="X62" s="72" t="s">
        <v>1</v>
      </c>
      <c r="Y62" s="72" t="s">
        <v>6</v>
      </c>
      <c r="Z62" s="72" t="s">
        <v>24</v>
      </c>
    </row>
    <row r="63" spans="1:26" x14ac:dyDescent="0.2">
      <c r="A63" s="115"/>
      <c r="B63" s="115"/>
      <c r="C63" s="261" t="str">
        <f>$AD$7</f>
        <v>PGT (UG fee)</v>
      </c>
      <c r="D63" s="254" t="s">
        <v>12</v>
      </c>
      <c r="E63" s="84">
        <v>657.7</v>
      </c>
      <c r="F63" s="408">
        <v>0</v>
      </c>
      <c r="G63" s="408">
        <v>0</v>
      </c>
      <c r="H63" s="408">
        <v>0</v>
      </c>
      <c r="I63" s="86">
        <v>0</v>
      </c>
      <c r="J63" s="263">
        <v>657.7</v>
      </c>
      <c r="K63" s="455">
        <v>0</v>
      </c>
      <c r="L63" s="447">
        <v>0</v>
      </c>
      <c r="M63" s="447">
        <v>0</v>
      </c>
      <c r="N63" s="265">
        <v>27132.35</v>
      </c>
      <c r="P63" s="408">
        <v>0</v>
      </c>
      <c r="Q63" s="408">
        <v>0</v>
      </c>
      <c r="R63" s="408">
        <v>0</v>
      </c>
      <c r="S63" s="408">
        <v>0</v>
      </c>
      <c r="T63" s="408">
        <v>0</v>
      </c>
      <c r="U63" s="422">
        <v>0</v>
      </c>
      <c r="W63" s="72" t="s">
        <v>27</v>
      </c>
      <c r="X63" s="72" t="s">
        <v>1</v>
      </c>
      <c r="Y63" s="72" t="s">
        <v>33</v>
      </c>
      <c r="Z63" s="72" t="s">
        <v>23</v>
      </c>
    </row>
    <row r="64" spans="1:26" x14ac:dyDescent="0.2">
      <c r="A64" s="115"/>
      <c r="B64" s="115"/>
      <c r="C64" s="257"/>
      <c r="D64" s="258" t="s">
        <v>11</v>
      </c>
      <c r="E64" s="79">
        <v>0.5</v>
      </c>
      <c r="F64" s="407">
        <v>0</v>
      </c>
      <c r="G64" s="407">
        <v>0</v>
      </c>
      <c r="H64" s="407">
        <v>0</v>
      </c>
      <c r="I64" s="80">
        <v>0</v>
      </c>
      <c r="J64" s="259">
        <v>0.5</v>
      </c>
      <c r="K64" s="448">
        <v>0</v>
      </c>
      <c r="L64" s="260">
        <v>423.68262499999997</v>
      </c>
      <c r="M64" s="449">
        <v>0</v>
      </c>
      <c r="N64" s="260">
        <v>0</v>
      </c>
      <c r="P64" s="407">
        <v>0</v>
      </c>
      <c r="Q64" s="407">
        <v>0</v>
      </c>
      <c r="R64" s="407">
        <v>0</v>
      </c>
      <c r="S64" s="407">
        <v>0</v>
      </c>
      <c r="T64" s="407">
        <v>0</v>
      </c>
      <c r="U64" s="420">
        <v>0</v>
      </c>
      <c r="W64" s="72" t="s">
        <v>27</v>
      </c>
      <c r="X64" s="72" t="s">
        <v>1</v>
      </c>
      <c r="Y64" s="72" t="s">
        <v>33</v>
      </c>
      <c r="Z64" s="72" t="s">
        <v>24</v>
      </c>
    </row>
    <row r="65" spans="1:26" x14ac:dyDescent="0.2">
      <c r="A65" s="115"/>
      <c r="B65" s="115"/>
      <c r="C65" s="261" t="str">
        <f>$AD$8</f>
        <v>PGT (Masters' loan)</v>
      </c>
      <c r="D65" s="262" t="s">
        <v>12</v>
      </c>
      <c r="E65" s="84">
        <v>1972.6</v>
      </c>
      <c r="F65" s="408">
        <v>0</v>
      </c>
      <c r="G65" s="408">
        <v>0</v>
      </c>
      <c r="H65" s="408">
        <v>0</v>
      </c>
      <c r="I65" s="86">
        <v>0</v>
      </c>
      <c r="J65" s="263">
        <v>1972.6</v>
      </c>
      <c r="K65" s="447">
        <v>0</v>
      </c>
      <c r="L65" s="455">
        <v>0</v>
      </c>
      <c r="M65" s="447">
        <v>0</v>
      </c>
      <c r="N65" s="265">
        <v>84946.2</v>
      </c>
      <c r="P65" s="408">
        <v>0</v>
      </c>
      <c r="Q65" s="408">
        <v>0</v>
      </c>
      <c r="R65" s="408">
        <v>0</v>
      </c>
      <c r="S65" s="408">
        <v>0</v>
      </c>
      <c r="T65" s="408">
        <v>0</v>
      </c>
      <c r="U65" s="422">
        <v>0</v>
      </c>
      <c r="W65" s="72" t="s">
        <v>27</v>
      </c>
      <c r="X65" s="72" t="s">
        <v>1</v>
      </c>
      <c r="Y65" s="72" t="s">
        <v>46</v>
      </c>
      <c r="Z65" s="72" t="s">
        <v>23</v>
      </c>
    </row>
    <row r="66" spans="1:26" x14ac:dyDescent="0.2">
      <c r="A66" s="115"/>
      <c r="B66" s="115"/>
      <c r="C66" s="257"/>
      <c r="D66" s="258" t="s">
        <v>11</v>
      </c>
      <c r="E66" s="79">
        <v>3880.67</v>
      </c>
      <c r="F66" s="407">
        <v>0</v>
      </c>
      <c r="G66" s="407">
        <v>0</v>
      </c>
      <c r="H66" s="407">
        <v>0</v>
      </c>
      <c r="I66" s="80">
        <v>0</v>
      </c>
      <c r="J66" s="259">
        <v>3880.67</v>
      </c>
      <c r="K66" s="449">
        <v>0</v>
      </c>
      <c r="L66" s="274">
        <v>3288344.9047174999</v>
      </c>
      <c r="M66" s="452">
        <v>0</v>
      </c>
      <c r="N66" s="260">
        <v>379482.08</v>
      </c>
      <c r="P66" s="407">
        <v>0</v>
      </c>
      <c r="Q66" s="407">
        <v>0</v>
      </c>
      <c r="R66" s="407">
        <v>0</v>
      </c>
      <c r="S66" s="407">
        <v>0</v>
      </c>
      <c r="T66" s="407">
        <v>0</v>
      </c>
      <c r="U66" s="420">
        <v>0</v>
      </c>
      <c r="W66" s="72" t="s">
        <v>27</v>
      </c>
      <c r="X66" s="72" t="s">
        <v>1</v>
      </c>
      <c r="Y66" s="72" t="s">
        <v>46</v>
      </c>
      <c r="Z66" s="72" t="s">
        <v>24</v>
      </c>
    </row>
    <row r="67" spans="1:26" x14ac:dyDescent="0.2">
      <c r="A67" s="115"/>
      <c r="B67" s="115"/>
      <c r="C67" s="261" t="str">
        <f>$AD$9</f>
        <v>PGT (Other)</v>
      </c>
      <c r="D67" s="262" t="s">
        <v>12</v>
      </c>
      <c r="E67" s="84">
        <v>2224.84</v>
      </c>
      <c r="F67" s="408">
        <v>0</v>
      </c>
      <c r="G67" s="408">
        <v>0</v>
      </c>
      <c r="H67" s="408">
        <v>0</v>
      </c>
      <c r="I67" s="86">
        <v>0</v>
      </c>
      <c r="J67" s="263">
        <v>2224.84</v>
      </c>
      <c r="K67" s="265">
        <v>2447324</v>
      </c>
      <c r="L67" s="447">
        <v>0</v>
      </c>
      <c r="M67" s="447">
        <v>0</v>
      </c>
      <c r="N67" s="265">
        <v>102878.64</v>
      </c>
      <c r="P67" s="408">
        <v>0</v>
      </c>
      <c r="Q67" s="408">
        <v>0</v>
      </c>
      <c r="R67" s="408">
        <v>0</v>
      </c>
      <c r="S67" s="408">
        <v>0</v>
      </c>
      <c r="T67" s="408">
        <v>0</v>
      </c>
      <c r="U67" s="422">
        <v>0</v>
      </c>
      <c r="W67" s="72" t="s">
        <v>27</v>
      </c>
      <c r="X67" s="72" t="s">
        <v>1</v>
      </c>
      <c r="Y67" s="72" t="s">
        <v>47</v>
      </c>
      <c r="Z67" s="72" t="s">
        <v>23</v>
      </c>
    </row>
    <row r="68" spans="1:26" x14ac:dyDescent="0.2">
      <c r="A68" s="272"/>
      <c r="B68" s="272"/>
      <c r="C68" s="272"/>
      <c r="D68" s="180" t="s">
        <v>11</v>
      </c>
      <c r="E68" s="90">
        <v>663.86</v>
      </c>
      <c r="F68" s="409">
        <v>0</v>
      </c>
      <c r="G68" s="409">
        <v>0</v>
      </c>
      <c r="H68" s="409">
        <v>0</v>
      </c>
      <c r="I68" s="91">
        <v>0</v>
      </c>
      <c r="J68" s="273">
        <v>663.86</v>
      </c>
      <c r="K68" s="274">
        <v>730246</v>
      </c>
      <c r="L68" s="274">
        <v>562531.89486500004</v>
      </c>
      <c r="M68" s="449">
        <v>0</v>
      </c>
      <c r="N68" s="274">
        <v>20675.990000000002</v>
      </c>
      <c r="P68" s="409">
        <v>0</v>
      </c>
      <c r="Q68" s="409">
        <v>0</v>
      </c>
      <c r="R68" s="409">
        <v>0</v>
      </c>
      <c r="S68" s="409">
        <v>0</v>
      </c>
      <c r="T68" s="409">
        <v>0</v>
      </c>
      <c r="U68" s="421">
        <v>0</v>
      </c>
      <c r="W68" s="72" t="s">
        <v>27</v>
      </c>
      <c r="X68" s="72" t="s">
        <v>1</v>
      </c>
      <c r="Y68" s="72" t="s">
        <v>47</v>
      </c>
      <c r="Z68" s="72" t="s">
        <v>24</v>
      </c>
    </row>
    <row r="69" spans="1:26" x14ac:dyDescent="0.2">
      <c r="A69" s="253" t="s">
        <v>9</v>
      </c>
      <c r="B69" s="115" t="s">
        <v>219</v>
      </c>
      <c r="C69" s="115" t="s">
        <v>6</v>
      </c>
      <c r="D69" s="254" t="s">
        <v>12</v>
      </c>
      <c r="E69" s="93">
        <v>345806.35</v>
      </c>
      <c r="F69" s="414">
        <v>0</v>
      </c>
      <c r="G69" s="414">
        <v>0</v>
      </c>
      <c r="H69" s="414">
        <v>0</v>
      </c>
      <c r="I69" s="94">
        <v>0</v>
      </c>
      <c r="J69" s="255">
        <v>345806.35</v>
      </c>
      <c r="K69" s="453">
        <v>0</v>
      </c>
      <c r="L69" s="454">
        <v>0</v>
      </c>
      <c r="M69" s="454">
        <v>0</v>
      </c>
      <c r="N69" s="256">
        <v>13787955.15</v>
      </c>
      <c r="P69" s="414">
        <v>0</v>
      </c>
      <c r="Q69" s="414">
        <v>0</v>
      </c>
      <c r="R69" s="414">
        <v>0</v>
      </c>
      <c r="S69" s="414">
        <v>0</v>
      </c>
      <c r="T69" s="414">
        <v>0</v>
      </c>
      <c r="U69" s="470">
        <v>0</v>
      </c>
      <c r="W69" s="72" t="s">
        <v>9</v>
      </c>
      <c r="X69" s="72" t="s">
        <v>2</v>
      </c>
      <c r="Y69" s="72" t="s">
        <v>6</v>
      </c>
      <c r="Z69" s="72" t="s">
        <v>23</v>
      </c>
    </row>
    <row r="70" spans="1:26" x14ac:dyDescent="0.2">
      <c r="A70" s="115"/>
      <c r="B70" s="115"/>
      <c r="C70" s="257"/>
      <c r="D70" s="258" t="s">
        <v>11</v>
      </c>
      <c r="E70" s="79">
        <v>1340.58</v>
      </c>
      <c r="F70" s="407">
        <v>0</v>
      </c>
      <c r="G70" s="407">
        <v>0</v>
      </c>
      <c r="H70" s="407">
        <v>0</v>
      </c>
      <c r="I70" s="80">
        <v>0</v>
      </c>
      <c r="J70" s="259">
        <v>1340.58</v>
      </c>
      <c r="K70" s="457">
        <v>0</v>
      </c>
      <c r="L70" s="449">
        <v>0</v>
      </c>
      <c r="M70" s="260">
        <v>1134422.0952804</v>
      </c>
      <c r="N70" s="274">
        <v>72177.52</v>
      </c>
      <c r="P70" s="407">
        <v>0</v>
      </c>
      <c r="Q70" s="407">
        <v>0</v>
      </c>
      <c r="R70" s="407">
        <v>0</v>
      </c>
      <c r="S70" s="407">
        <v>0</v>
      </c>
      <c r="T70" s="407">
        <v>0</v>
      </c>
      <c r="U70" s="420">
        <v>0</v>
      </c>
      <c r="W70" s="72" t="s">
        <v>9</v>
      </c>
      <c r="X70" s="72" t="s">
        <v>2</v>
      </c>
      <c r="Y70" s="72" t="s">
        <v>6</v>
      </c>
      <c r="Z70" s="72" t="s">
        <v>24</v>
      </c>
    </row>
    <row r="71" spans="1:26" x14ac:dyDescent="0.2">
      <c r="A71" s="115"/>
      <c r="B71" s="115"/>
      <c r="C71" s="261" t="str">
        <f>$AD$7</f>
        <v>PGT (UG fee)</v>
      </c>
      <c r="D71" s="254" t="s">
        <v>12</v>
      </c>
      <c r="E71" s="84">
        <v>34.76</v>
      </c>
      <c r="F71" s="408">
        <v>0</v>
      </c>
      <c r="G71" s="408">
        <v>0</v>
      </c>
      <c r="H71" s="408">
        <v>0</v>
      </c>
      <c r="I71" s="86">
        <v>0</v>
      </c>
      <c r="J71" s="263">
        <v>34.76</v>
      </c>
      <c r="K71" s="455">
        <v>0</v>
      </c>
      <c r="L71" s="447">
        <v>0</v>
      </c>
      <c r="M71" s="447">
        <v>0</v>
      </c>
      <c r="N71" s="265">
        <v>0</v>
      </c>
      <c r="P71" s="408">
        <v>0</v>
      </c>
      <c r="Q71" s="408">
        <v>0</v>
      </c>
      <c r="R71" s="408">
        <v>0</v>
      </c>
      <c r="S71" s="408">
        <v>0</v>
      </c>
      <c r="T71" s="408">
        <v>0</v>
      </c>
      <c r="U71" s="422">
        <v>0</v>
      </c>
      <c r="W71" s="72" t="s">
        <v>9</v>
      </c>
      <c r="X71" s="72" t="s">
        <v>2</v>
      </c>
      <c r="Y71" s="72" t="s">
        <v>33</v>
      </c>
      <c r="Z71" s="72" t="s">
        <v>23</v>
      </c>
    </row>
    <row r="72" spans="1:26" x14ac:dyDescent="0.2">
      <c r="A72" s="115"/>
      <c r="B72" s="115"/>
      <c r="C72" s="257"/>
      <c r="D72" s="258" t="s">
        <v>11</v>
      </c>
      <c r="E72" s="79">
        <v>0</v>
      </c>
      <c r="F72" s="407">
        <v>0</v>
      </c>
      <c r="G72" s="407">
        <v>0</v>
      </c>
      <c r="H72" s="407">
        <v>0</v>
      </c>
      <c r="I72" s="80">
        <v>0</v>
      </c>
      <c r="J72" s="259">
        <v>0</v>
      </c>
      <c r="K72" s="448">
        <v>0</v>
      </c>
      <c r="L72" s="449">
        <v>0</v>
      </c>
      <c r="M72" s="449">
        <v>0</v>
      </c>
      <c r="N72" s="260">
        <v>0</v>
      </c>
      <c r="P72" s="407">
        <v>0</v>
      </c>
      <c r="Q72" s="407">
        <v>0</v>
      </c>
      <c r="R72" s="407">
        <v>0</v>
      </c>
      <c r="S72" s="407">
        <v>0</v>
      </c>
      <c r="T72" s="407">
        <v>0</v>
      </c>
      <c r="U72" s="420">
        <v>0</v>
      </c>
      <c r="W72" s="72" t="s">
        <v>9</v>
      </c>
      <c r="X72" s="72" t="s">
        <v>2</v>
      </c>
      <c r="Y72" s="72" t="s">
        <v>33</v>
      </c>
      <c r="Z72" s="72" t="s">
        <v>24</v>
      </c>
    </row>
    <row r="73" spans="1:26" x14ac:dyDescent="0.2">
      <c r="A73" s="115"/>
      <c r="B73" s="115"/>
      <c r="C73" s="261" t="str">
        <f>$AD$8</f>
        <v>PGT (Masters' loan)</v>
      </c>
      <c r="D73" s="262" t="s">
        <v>12</v>
      </c>
      <c r="E73" s="84">
        <v>5305.48</v>
      </c>
      <c r="F73" s="408">
        <v>0</v>
      </c>
      <c r="G73" s="408">
        <v>0</v>
      </c>
      <c r="H73" s="408">
        <v>0</v>
      </c>
      <c r="I73" s="86">
        <v>0</v>
      </c>
      <c r="J73" s="263">
        <v>5305.48</v>
      </c>
      <c r="K73" s="455">
        <v>0</v>
      </c>
      <c r="L73" s="447">
        <v>0</v>
      </c>
      <c r="M73" s="447">
        <v>0</v>
      </c>
      <c r="N73" s="265">
        <v>380901.24</v>
      </c>
      <c r="P73" s="408">
        <v>0</v>
      </c>
      <c r="Q73" s="408">
        <v>0</v>
      </c>
      <c r="R73" s="408">
        <v>0</v>
      </c>
      <c r="S73" s="408">
        <v>0</v>
      </c>
      <c r="T73" s="408">
        <v>0</v>
      </c>
      <c r="U73" s="422">
        <v>0</v>
      </c>
      <c r="W73" s="72" t="s">
        <v>9</v>
      </c>
      <c r="X73" s="72" t="s">
        <v>2</v>
      </c>
      <c r="Y73" s="72" t="s">
        <v>46</v>
      </c>
      <c r="Z73" s="72" t="s">
        <v>23</v>
      </c>
    </row>
    <row r="74" spans="1:26" x14ac:dyDescent="0.2">
      <c r="A74" s="115"/>
      <c r="B74" s="115"/>
      <c r="C74" s="257"/>
      <c r="D74" s="258" t="s">
        <v>11</v>
      </c>
      <c r="E74" s="79">
        <v>20452.650000000001</v>
      </c>
      <c r="F74" s="407">
        <v>0</v>
      </c>
      <c r="G74" s="407">
        <v>0</v>
      </c>
      <c r="H74" s="407">
        <v>0</v>
      </c>
      <c r="I74" s="80">
        <v>0</v>
      </c>
      <c r="J74" s="259">
        <v>20452.650000000001</v>
      </c>
      <c r="K74" s="448">
        <v>0</v>
      </c>
      <c r="L74" s="449">
        <v>0</v>
      </c>
      <c r="M74" s="449">
        <v>0</v>
      </c>
      <c r="N74" s="260">
        <v>1887602.66</v>
      </c>
      <c r="P74" s="407">
        <v>0</v>
      </c>
      <c r="Q74" s="407">
        <v>0</v>
      </c>
      <c r="R74" s="407">
        <v>0</v>
      </c>
      <c r="S74" s="407">
        <v>0</v>
      </c>
      <c r="T74" s="407">
        <v>0</v>
      </c>
      <c r="U74" s="420">
        <v>0</v>
      </c>
      <c r="W74" s="72" t="s">
        <v>9</v>
      </c>
      <c r="X74" s="72" t="s">
        <v>2</v>
      </c>
      <c r="Y74" s="72" t="s">
        <v>46</v>
      </c>
      <c r="Z74" s="72" t="s">
        <v>24</v>
      </c>
    </row>
    <row r="75" spans="1:26" x14ac:dyDescent="0.2">
      <c r="A75" s="115"/>
      <c r="B75" s="115"/>
      <c r="C75" s="261" t="str">
        <f>$AD$9</f>
        <v>PGT (Other)</v>
      </c>
      <c r="D75" s="262" t="s">
        <v>12</v>
      </c>
      <c r="E75" s="84">
        <v>1034.9100000000001</v>
      </c>
      <c r="F75" s="408">
        <v>0</v>
      </c>
      <c r="G75" s="408">
        <v>0</v>
      </c>
      <c r="H75" s="408">
        <v>0</v>
      </c>
      <c r="I75" s="86">
        <v>0</v>
      </c>
      <c r="J75" s="263">
        <v>1034.9100000000001</v>
      </c>
      <c r="K75" s="455">
        <v>0</v>
      </c>
      <c r="L75" s="447">
        <v>0</v>
      </c>
      <c r="M75" s="447">
        <v>0</v>
      </c>
      <c r="N75" s="265">
        <v>84004.12</v>
      </c>
      <c r="P75" s="408">
        <v>0</v>
      </c>
      <c r="Q75" s="408">
        <v>0</v>
      </c>
      <c r="R75" s="408">
        <v>0</v>
      </c>
      <c r="S75" s="408">
        <v>0</v>
      </c>
      <c r="T75" s="408">
        <v>0</v>
      </c>
      <c r="U75" s="422">
        <v>0</v>
      </c>
      <c r="W75" s="72" t="s">
        <v>9</v>
      </c>
      <c r="X75" s="72" t="s">
        <v>2</v>
      </c>
      <c r="Y75" s="72" t="s">
        <v>47</v>
      </c>
      <c r="Z75" s="72" t="s">
        <v>23</v>
      </c>
    </row>
    <row r="76" spans="1:26" x14ac:dyDescent="0.2">
      <c r="A76" s="115"/>
      <c r="B76" s="266"/>
      <c r="C76" s="266"/>
      <c r="D76" s="267" t="s">
        <v>11</v>
      </c>
      <c r="E76" s="268">
        <v>373.56</v>
      </c>
      <c r="F76" s="441">
        <v>0</v>
      </c>
      <c r="G76" s="441">
        <v>0</v>
      </c>
      <c r="H76" s="441">
        <v>0</v>
      </c>
      <c r="I76" s="269">
        <v>0</v>
      </c>
      <c r="J76" s="270">
        <v>373.56</v>
      </c>
      <c r="K76" s="462">
        <v>0</v>
      </c>
      <c r="L76" s="450">
        <v>0</v>
      </c>
      <c r="M76" s="450">
        <v>0</v>
      </c>
      <c r="N76" s="271">
        <v>9303</v>
      </c>
      <c r="P76" s="441">
        <v>0</v>
      </c>
      <c r="Q76" s="441">
        <v>0</v>
      </c>
      <c r="R76" s="441">
        <v>0</v>
      </c>
      <c r="S76" s="441">
        <v>0</v>
      </c>
      <c r="T76" s="441">
        <v>0</v>
      </c>
      <c r="U76" s="471">
        <v>0</v>
      </c>
      <c r="W76" s="72" t="s">
        <v>9</v>
      </c>
      <c r="X76" s="72" t="s">
        <v>2</v>
      </c>
      <c r="Y76" s="72" t="s">
        <v>47</v>
      </c>
      <c r="Z76" s="72" t="s">
        <v>24</v>
      </c>
    </row>
    <row r="77" spans="1:26" x14ac:dyDescent="0.2">
      <c r="A77" s="115"/>
      <c r="B77" s="115" t="s">
        <v>223</v>
      </c>
      <c r="C77" s="115" t="s">
        <v>6</v>
      </c>
      <c r="D77" s="254" t="s">
        <v>12</v>
      </c>
      <c r="E77" s="93">
        <v>25733.63</v>
      </c>
      <c r="F77" s="414">
        <v>0</v>
      </c>
      <c r="G77" s="414">
        <v>0</v>
      </c>
      <c r="H77" s="414">
        <v>0</v>
      </c>
      <c r="I77" s="94">
        <v>0</v>
      </c>
      <c r="J77" s="255">
        <v>25733.63</v>
      </c>
      <c r="K77" s="446">
        <v>0</v>
      </c>
      <c r="L77" s="451">
        <v>0</v>
      </c>
      <c r="M77" s="451">
        <v>0</v>
      </c>
      <c r="N77" s="264">
        <v>468278.63</v>
      </c>
      <c r="P77" s="414">
        <v>0</v>
      </c>
      <c r="Q77" s="414">
        <v>0</v>
      </c>
      <c r="R77" s="414">
        <v>0</v>
      </c>
      <c r="S77" s="414">
        <v>0</v>
      </c>
      <c r="T77" s="414">
        <v>0</v>
      </c>
      <c r="U77" s="470">
        <v>0</v>
      </c>
      <c r="W77" s="72" t="s">
        <v>9</v>
      </c>
      <c r="X77" s="72" t="s">
        <v>1</v>
      </c>
      <c r="Y77" s="72" t="s">
        <v>6</v>
      </c>
      <c r="Z77" s="72" t="s">
        <v>23</v>
      </c>
    </row>
    <row r="78" spans="1:26" x14ac:dyDescent="0.2">
      <c r="A78" s="115"/>
      <c r="B78" s="115"/>
      <c r="C78" s="257"/>
      <c r="D78" s="258" t="s">
        <v>11</v>
      </c>
      <c r="E78" s="79">
        <v>162.87</v>
      </c>
      <c r="F78" s="407">
        <v>0</v>
      </c>
      <c r="G78" s="407">
        <v>0</v>
      </c>
      <c r="H78" s="407">
        <v>0</v>
      </c>
      <c r="I78" s="80">
        <v>0</v>
      </c>
      <c r="J78" s="259">
        <v>162.87</v>
      </c>
      <c r="K78" s="448">
        <v>0</v>
      </c>
      <c r="L78" s="449">
        <v>0</v>
      </c>
      <c r="M78" s="449">
        <v>0</v>
      </c>
      <c r="N78" s="260">
        <v>9520.7999999999993</v>
      </c>
      <c r="P78" s="407">
        <v>0</v>
      </c>
      <c r="Q78" s="407">
        <v>0</v>
      </c>
      <c r="R78" s="407">
        <v>0</v>
      </c>
      <c r="S78" s="407">
        <v>0</v>
      </c>
      <c r="T78" s="407">
        <v>0</v>
      </c>
      <c r="U78" s="420">
        <v>0</v>
      </c>
      <c r="W78" s="72" t="s">
        <v>9</v>
      </c>
      <c r="X78" s="72" t="s">
        <v>1</v>
      </c>
      <c r="Y78" s="72" t="s">
        <v>6</v>
      </c>
      <c r="Z78" s="72" t="s">
        <v>24</v>
      </c>
    </row>
    <row r="79" spans="1:26" x14ac:dyDescent="0.2">
      <c r="A79" s="115"/>
      <c r="B79" s="115"/>
      <c r="C79" s="261" t="str">
        <f>$AD$7</f>
        <v>PGT (UG fee)</v>
      </c>
      <c r="D79" s="254" t="s">
        <v>12</v>
      </c>
      <c r="E79" s="84">
        <v>32.25</v>
      </c>
      <c r="F79" s="408">
        <v>0</v>
      </c>
      <c r="G79" s="408">
        <v>0</v>
      </c>
      <c r="H79" s="408">
        <v>0</v>
      </c>
      <c r="I79" s="86">
        <v>0</v>
      </c>
      <c r="J79" s="263">
        <v>32.25</v>
      </c>
      <c r="K79" s="446">
        <v>0</v>
      </c>
      <c r="L79" s="447">
        <v>0</v>
      </c>
      <c r="M79" s="447">
        <v>0</v>
      </c>
      <c r="N79" s="264">
        <v>73.36</v>
      </c>
      <c r="P79" s="408">
        <v>0</v>
      </c>
      <c r="Q79" s="408">
        <v>0</v>
      </c>
      <c r="R79" s="408">
        <v>0</v>
      </c>
      <c r="S79" s="408">
        <v>0</v>
      </c>
      <c r="T79" s="408">
        <v>0</v>
      </c>
      <c r="U79" s="422">
        <v>0</v>
      </c>
      <c r="W79" s="72" t="s">
        <v>9</v>
      </c>
      <c r="X79" s="72" t="s">
        <v>1</v>
      </c>
      <c r="Y79" s="72" t="s">
        <v>33</v>
      </c>
      <c r="Z79" s="72" t="s">
        <v>23</v>
      </c>
    </row>
    <row r="80" spans="1:26" x14ac:dyDescent="0.2">
      <c r="A80" s="115"/>
      <c r="B80" s="115"/>
      <c r="C80" s="257"/>
      <c r="D80" s="258" t="s">
        <v>11</v>
      </c>
      <c r="E80" s="79">
        <v>0</v>
      </c>
      <c r="F80" s="407">
        <v>0</v>
      </c>
      <c r="G80" s="407">
        <v>0</v>
      </c>
      <c r="H80" s="407">
        <v>0</v>
      </c>
      <c r="I80" s="80">
        <v>0</v>
      </c>
      <c r="J80" s="259">
        <v>0</v>
      </c>
      <c r="K80" s="448">
        <v>0</v>
      </c>
      <c r="L80" s="449">
        <v>0</v>
      </c>
      <c r="M80" s="449">
        <v>0</v>
      </c>
      <c r="N80" s="260">
        <v>0</v>
      </c>
      <c r="P80" s="407">
        <v>0</v>
      </c>
      <c r="Q80" s="407">
        <v>0</v>
      </c>
      <c r="R80" s="407">
        <v>0</v>
      </c>
      <c r="S80" s="407">
        <v>0</v>
      </c>
      <c r="T80" s="407">
        <v>0</v>
      </c>
      <c r="U80" s="420">
        <v>0</v>
      </c>
      <c r="W80" s="72" t="s">
        <v>9</v>
      </c>
      <c r="X80" s="72" t="s">
        <v>1</v>
      </c>
      <c r="Y80" s="72" t="s">
        <v>33</v>
      </c>
      <c r="Z80" s="72" t="s">
        <v>24</v>
      </c>
    </row>
    <row r="81" spans="1:28" x14ac:dyDescent="0.2">
      <c r="A81" s="115"/>
      <c r="B81" s="115"/>
      <c r="C81" s="261" t="str">
        <f>$AD$8</f>
        <v>PGT (Masters' loan)</v>
      </c>
      <c r="D81" s="262" t="s">
        <v>12</v>
      </c>
      <c r="E81" s="84">
        <v>2893.64</v>
      </c>
      <c r="F81" s="408">
        <v>0</v>
      </c>
      <c r="G81" s="408">
        <v>0</v>
      </c>
      <c r="H81" s="408">
        <v>0</v>
      </c>
      <c r="I81" s="86">
        <v>0</v>
      </c>
      <c r="J81" s="263">
        <v>2893.64</v>
      </c>
      <c r="K81" s="446">
        <v>0</v>
      </c>
      <c r="L81" s="447">
        <v>0</v>
      </c>
      <c r="M81" s="447">
        <v>0</v>
      </c>
      <c r="N81" s="264">
        <v>183209.29</v>
      </c>
      <c r="P81" s="408">
        <v>0</v>
      </c>
      <c r="Q81" s="408">
        <v>0</v>
      </c>
      <c r="R81" s="408">
        <v>0</v>
      </c>
      <c r="S81" s="408">
        <v>0</v>
      </c>
      <c r="T81" s="408">
        <v>0</v>
      </c>
      <c r="U81" s="422">
        <v>0</v>
      </c>
      <c r="W81" s="72" t="s">
        <v>9</v>
      </c>
      <c r="X81" s="72" t="s">
        <v>1</v>
      </c>
      <c r="Y81" s="72" t="s">
        <v>46</v>
      </c>
      <c r="Z81" s="72" t="s">
        <v>23</v>
      </c>
    </row>
    <row r="82" spans="1:28" x14ac:dyDescent="0.2">
      <c r="A82" s="115"/>
      <c r="B82" s="115"/>
      <c r="C82" s="257"/>
      <c r="D82" s="258" t="s">
        <v>11</v>
      </c>
      <c r="E82" s="79">
        <v>7317.66</v>
      </c>
      <c r="F82" s="407">
        <v>0</v>
      </c>
      <c r="G82" s="407">
        <v>0</v>
      </c>
      <c r="H82" s="407">
        <v>0</v>
      </c>
      <c r="I82" s="80">
        <v>0</v>
      </c>
      <c r="J82" s="259">
        <v>7317.66</v>
      </c>
      <c r="K82" s="448">
        <v>0</v>
      </c>
      <c r="L82" s="449">
        <v>0</v>
      </c>
      <c r="M82" s="449">
        <v>0</v>
      </c>
      <c r="N82" s="260">
        <v>603671.43000000005</v>
      </c>
      <c r="P82" s="407">
        <v>0</v>
      </c>
      <c r="Q82" s="407">
        <v>0</v>
      </c>
      <c r="R82" s="407">
        <v>0</v>
      </c>
      <c r="S82" s="407">
        <v>0</v>
      </c>
      <c r="T82" s="407">
        <v>0</v>
      </c>
      <c r="U82" s="420">
        <v>0</v>
      </c>
      <c r="W82" s="72" t="s">
        <v>9</v>
      </c>
      <c r="X82" s="72" t="s">
        <v>1</v>
      </c>
      <c r="Y82" s="72" t="s">
        <v>46</v>
      </c>
      <c r="Z82" s="72" t="s">
        <v>24</v>
      </c>
    </row>
    <row r="83" spans="1:28" x14ac:dyDescent="0.2">
      <c r="A83" s="115"/>
      <c r="B83" s="115"/>
      <c r="C83" s="261" t="str">
        <f>$AD$9</f>
        <v>PGT (Other)</v>
      </c>
      <c r="D83" s="262" t="s">
        <v>12</v>
      </c>
      <c r="E83" s="84">
        <v>2109.67</v>
      </c>
      <c r="F83" s="408">
        <v>0</v>
      </c>
      <c r="G83" s="408">
        <v>0</v>
      </c>
      <c r="H83" s="408">
        <v>0</v>
      </c>
      <c r="I83" s="86">
        <v>0</v>
      </c>
      <c r="J83" s="263">
        <v>2109.67</v>
      </c>
      <c r="K83" s="455">
        <v>0</v>
      </c>
      <c r="L83" s="447">
        <v>0</v>
      </c>
      <c r="M83" s="447">
        <v>0</v>
      </c>
      <c r="N83" s="265">
        <v>69952.94</v>
      </c>
      <c r="P83" s="408">
        <v>0</v>
      </c>
      <c r="Q83" s="408">
        <v>0</v>
      </c>
      <c r="R83" s="408">
        <v>0</v>
      </c>
      <c r="S83" s="408">
        <v>0</v>
      </c>
      <c r="T83" s="408">
        <v>0</v>
      </c>
      <c r="U83" s="422">
        <v>0</v>
      </c>
      <c r="W83" s="72" t="s">
        <v>9</v>
      </c>
      <c r="X83" s="72" t="s">
        <v>1</v>
      </c>
      <c r="Y83" s="72" t="s">
        <v>47</v>
      </c>
      <c r="Z83" s="72" t="s">
        <v>23</v>
      </c>
    </row>
    <row r="84" spans="1:28" ht="14.25" thickBot="1" x14ac:dyDescent="0.25">
      <c r="A84" s="115"/>
      <c r="B84" s="115"/>
      <c r="C84" s="115"/>
      <c r="D84" s="254" t="s">
        <v>11</v>
      </c>
      <c r="E84" s="97">
        <v>930.52</v>
      </c>
      <c r="F84" s="415">
        <v>0</v>
      </c>
      <c r="G84" s="415">
        <v>0</v>
      </c>
      <c r="H84" s="415">
        <v>0</v>
      </c>
      <c r="I84" s="105">
        <v>0</v>
      </c>
      <c r="J84" s="290">
        <v>930.52</v>
      </c>
      <c r="K84" s="457">
        <v>0</v>
      </c>
      <c r="L84" s="452">
        <v>0</v>
      </c>
      <c r="M84" s="452">
        <v>0</v>
      </c>
      <c r="N84" s="274">
        <v>39931.56</v>
      </c>
      <c r="P84" s="415">
        <v>0</v>
      </c>
      <c r="Q84" s="415">
        <v>0</v>
      </c>
      <c r="R84" s="415">
        <v>0</v>
      </c>
      <c r="S84" s="415">
        <v>0</v>
      </c>
      <c r="T84" s="415">
        <v>0</v>
      </c>
      <c r="U84" s="423">
        <v>0</v>
      </c>
      <c r="W84" s="72" t="s">
        <v>9</v>
      </c>
      <c r="X84" s="72" t="s">
        <v>1</v>
      </c>
      <c r="Y84" s="72" t="s">
        <v>47</v>
      </c>
      <c r="Z84" s="72" t="s">
        <v>24</v>
      </c>
    </row>
    <row r="85" spans="1:28" ht="14.25" customHeight="1" thickTop="1" x14ac:dyDescent="0.2">
      <c r="A85" s="98" t="s">
        <v>3</v>
      </c>
      <c r="B85" s="557" t="s">
        <v>222</v>
      </c>
      <c r="C85" s="291" t="s">
        <v>6</v>
      </c>
      <c r="D85" s="292"/>
      <c r="E85" s="293">
        <f>SUM(E5:E6,E17:E18,E33:E34,E49:E50,E57,E69:E70)</f>
        <v>996081.49999999988</v>
      </c>
      <c r="F85" s="294">
        <f>SUM(F17:F18,F33:F34,F57)</f>
        <v>20587</v>
      </c>
      <c r="G85" s="445"/>
      <c r="H85" s="294">
        <f>SUM(H5:H6)</f>
        <v>118</v>
      </c>
      <c r="I85" s="294">
        <f>SUM(I5:I6,I17:I18,I33:I34,I49:I50,I57,I69:I70)</f>
        <v>1444</v>
      </c>
      <c r="J85" s="295">
        <f t="shared" ref="J85" si="0">SUM(J5:J6,J17:J18,J33:J34,J49:J50,J57,J69:J70)</f>
        <v>1018230.4999999999</v>
      </c>
      <c r="K85" s="463"/>
      <c r="L85" s="463"/>
      <c r="M85" s="296">
        <f>SUM(M18,M34,M50,M70)</f>
        <v>3371274.1830797</v>
      </c>
      <c r="N85" s="296">
        <f>SUM(N5:N6,N17:N18,N33:N34,N49:N50,N57,N69:N70)</f>
        <v>54956380.350000001</v>
      </c>
      <c r="P85" s="294">
        <f>SUM(P17:P18,P33:P34)</f>
        <v>20230</v>
      </c>
      <c r="Q85" s="294">
        <f>SUM(Q5,Q6,Q17,Q18,Q33,Q34,Q57)</f>
        <v>24449</v>
      </c>
      <c r="R85" s="294">
        <f>SUM(R5:R6,R17:R18,R33:R34,R57)</f>
        <v>65384</v>
      </c>
      <c r="S85" s="463"/>
      <c r="T85" s="297">
        <f>SUM(T18,T34)</f>
        <v>0</v>
      </c>
      <c r="U85" s="297">
        <f>SUM(U5:U6,U17:U18,U33:U34,U57)</f>
        <v>2752047</v>
      </c>
    </row>
    <row r="86" spans="1:28" x14ac:dyDescent="0.2">
      <c r="A86" s="103"/>
      <c r="B86" s="558"/>
      <c r="C86" s="298" t="str">
        <f>$AD$7</f>
        <v>PGT (UG fee)</v>
      </c>
      <c r="D86" s="299"/>
      <c r="E86" s="282">
        <f>SUM(E19:E20,E35:E36,E51:E52,E58,E71:E72)</f>
        <v>5240</v>
      </c>
      <c r="F86" s="442"/>
      <c r="G86" s="283">
        <f>SUM(G19:G20,G35:G36)</f>
        <v>2156</v>
      </c>
      <c r="H86" s="442"/>
      <c r="I86" s="283">
        <f t="shared" ref="I86:J86" si="1">SUM(I19:I20,I35:I36,I51:I52,I58,I71:I72)</f>
        <v>0</v>
      </c>
      <c r="J86" s="300">
        <f t="shared" si="1"/>
        <v>7396</v>
      </c>
      <c r="K86" s="464"/>
      <c r="L86" s="301">
        <f>SUM(L20,L36,L52)</f>
        <v>64464.94096</v>
      </c>
      <c r="M86" s="464"/>
      <c r="N86" s="301">
        <f>SUM(N19:N20,N35:N36,N51:N52,N58,N71:N72)</f>
        <v>831506</v>
      </c>
      <c r="P86" s="442"/>
      <c r="Q86" s="283">
        <f>SUM(Q19:Q20,Q35:Q36,Q58)</f>
        <v>2226</v>
      </c>
      <c r="R86" s="283">
        <f>SUM(R19:R20,R35:R36,R58)</f>
        <v>4382</v>
      </c>
      <c r="S86" s="302">
        <f>SUM(S20,S36)</f>
        <v>24378.046439999998</v>
      </c>
      <c r="T86" s="442"/>
      <c r="U86" s="302">
        <f>SUM(U19:U20,U35:U36,U58)</f>
        <v>580074</v>
      </c>
    </row>
    <row r="87" spans="1:28" x14ac:dyDescent="0.2">
      <c r="A87" s="103"/>
      <c r="B87" s="558"/>
      <c r="C87" s="298" t="str">
        <f>$AD$8</f>
        <v>PGT (Masters' loan)</v>
      </c>
      <c r="D87" s="299"/>
      <c r="E87" s="282">
        <f>SUM(E7:E8,E21:E22,E37:E38,E53:E54,E59,E73:E74)</f>
        <v>59773.500000000007</v>
      </c>
      <c r="F87" s="442"/>
      <c r="G87" s="442"/>
      <c r="H87" s="442"/>
      <c r="I87" s="283">
        <f t="shared" ref="I87:N87" si="2">SUM(I7:I8,I21:I22,I37:I38,I53:I54,I59,I73:I74)</f>
        <v>0</v>
      </c>
      <c r="J87" s="300">
        <f t="shared" si="2"/>
        <v>59773.500000000007</v>
      </c>
      <c r="K87" s="464"/>
      <c r="L87" s="301">
        <f>SUM(L22,L38,L54)</f>
        <v>25211817.9858758</v>
      </c>
      <c r="M87" s="464"/>
      <c r="N87" s="301">
        <f t="shared" si="2"/>
        <v>7217310.3900000006</v>
      </c>
      <c r="P87" s="442"/>
      <c r="Q87" s="442"/>
      <c r="R87" s="442"/>
      <c r="S87" s="442"/>
      <c r="T87" s="442"/>
      <c r="U87" s="467"/>
    </row>
    <row r="88" spans="1:28" x14ac:dyDescent="0.2">
      <c r="A88" s="103"/>
      <c r="B88" s="559"/>
      <c r="C88" s="303" t="str">
        <f>$AD$9</f>
        <v>PGT (Other)</v>
      </c>
      <c r="D88" s="304"/>
      <c r="E88" s="286">
        <f>SUM(E9:E10,E23:E24,E39:E40,E55:E56,E60,E75:E76)</f>
        <v>3761.9999999999995</v>
      </c>
      <c r="F88" s="443"/>
      <c r="G88" s="443"/>
      <c r="H88" s="443"/>
      <c r="I88" s="287">
        <f t="shared" ref="I88:N88" si="3">SUM(I9:I10,I23:I24,I39:I40,I55:I56,I60,I75:I76)</f>
        <v>2</v>
      </c>
      <c r="J88" s="288">
        <f t="shared" si="3"/>
        <v>3763.9999999999995</v>
      </c>
      <c r="K88" s="289">
        <f>SUM(K9:K10,K23:K24,K39:K40,K55:K56,K60)</f>
        <v>2591083</v>
      </c>
      <c r="L88" s="289">
        <f>SUM(L24,L40,L56)</f>
        <v>743467.84141160012</v>
      </c>
      <c r="M88" s="465"/>
      <c r="N88" s="289">
        <f t="shared" si="3"/>
        <v>312883.63999999996</v>
      </c>
      <c r="P88" s="443"/>
      <c r="Q88" s="443"/>
      <c r="R88" s="443"/>
      <c r="S88" s="443"/>
      <c r="T88" s="443"/>
      <c r="U88" s="469"/>
    </row>
    <row r="89" spans="1:28" x14ac:dyDescent="0.2">
      <c r="A89" s="103"/>
      <c r="B89" s="103" t="s">
        <v>223</v>
      </c>
      <c r="C89" s="305" t="s">
        <v>6</v>
      </c>
      <c r="D89" s="306"/>
      <c r="E89" s="276">
        <f>SUM(E11:E12,E25:E26,E41:E42,E61:E62,E77:E78)</f>
        <v>69343.69</v>
      </c>
      <c r="F89" s="277">
        <f>SUM(F25:F26,F41:F42)</f>
        <v>338.75</v>
      </c>
      <c r="G89" s="440"/>
      <c r="H89" s="277">
        <f>SUM(H11:H12)</f>
        <v>0.4</v>
      </c>
      <c r="I89" s="277">
        <f t="shared" ref="I89:N89" si="4">SUM(I11:I12,I25:I26,I41:I42,I61:I62,I77:I78)</f>
        <v>-2.85</v>
      </c>
      <c r="J89" s="278">
        <f t="shared" si="4"/>
        <v>69679.990000000005</v>
      </c>
      <c r="K89" s="458"/>
      <c r="L89" s="458"/>
      <c r="M89" s="458"/>
      <c r="N89" s="279">
        <f t="shared" si="4"/>
        <v>1928738.8</v>
      </c>
      <c r="P89" s="277">
        <f>SUM(P25:P26,P41:P42)</f>
        <v>253.14999999999998</v>
      </c>
      <c r="Q89" s="277">
        <f>SUM(Q11:Q12,Q25:Q26,Q41:Q42)</f>
        <v>335.33</v>
      </c>
      <c r="R89" s="277">
        <f>SUM(R11:R12,R25:R26,R41:R42)</f>
        <v>927.63</v>
      </c>
      <c r="S89" s="440"/>
      <c r="T89" s="440"/>
      <c r="U89" s="279">
        <f>SUM(U11:U12,U25:U26,U41:U42)</f>
        <v>35171.56</v>
      </c>
    </row>
    <row r="90" spans="1:28" x14ac:dyDescent="0.2">
      <c r="A90" s="103"/>
      <c r="B90" s="103"/>
      <c r="C90" s="298" t="str">
        <f>$AD$7</f>
        <v>PGT (UG fee)</v>
      </c>
      <c r="D90" s="299"/>
      <c r="E90" s="282">
        <f>SUM(E27:E28,E43:E44,E63:E64,E79:E80)</f>
        <v>696.07</v>
      </c>
      <c r="F90" s="442"/>
      <c r="G90" s="283">
        <f>SUM(G27:G28,G43:G44)</f>
        <v>15.62</v>
      </c>
      <c r="H90" s="442"/>
      <c r="I90" s="283">
        <f t="shared" ref="I90:N90" si="5">SUM(I27:I28,I43:I44,I63:I64,I79:I80)</f>
        <v>0</v>
      </c>
      <c r="J90" s="300">
        <f t="shared" si="5"/>
        <v>711.69</v>
      </c>
      <c r="K90" s="464"/>
      <c r="L90" s="301">
        <f>SUM(L28,L44,L64)</f>
        <v>789.35332159999996</v>
      </c>
      <c r="M90" s="464"/>
      <c r="N90" s="301">
        <f t="shared" si="5"/>
        <v>30880.84</v>
      </c>
      <c r="P90" s="442"/>
      <c r="Q90" s="283">
        <f>SUM(Q27:Q28,Q43:Q44)</f>
        <v>2.98</v>
      </c>
      <c r="R90" s="283">
        <f>SUM(R27:R28,R43:R44)</f>
        <v>18.600000000000001</v>
      </c>
      <c r="S90" s="302">
        <f>SUM(S28,S44)</f>
        <v>0</v>
      </c>
      <c r="T90" s="442"/>
      <c r="U90" s="302">
        <f>SUM(U27:U28,U43:U44)</f>
        <v>3578.73</v>
      </c>
    </row>
    <row r="91" spans="1:28" x14ac:dyDescent="0.2">
      <c r="A91" s="103"/>
      <c r="B91" s="103"/>
      <c r="C91" s="298" t="str">
        <f>$AD$8</f>
        <v>PGT (Masters' loan)</v>
      </c>
      <c r="D91" s="299"/>
      <c r="E91" s="282">
        <f>SUM(E13:E14,E29:E30,E45:E46,E65:E66,E81:E82)</f>
        <v>21766.85</v>
      </c>
      <c r="F91" s="442"/>
      <c r="G91" s="442"/>
      <c r="H91" s="442"/>
      <c r="I91" s="283">
        <f t="shared" ref="I91:N91" si="6">SUM(I13:I14,I29:I30,I45:I46,I65:I66,I81:I82)</f>
        <v>0</v>
      </c>
      <c r="J91" s="300">
        <f t="shared" si="6"/>
        <v>21766.85</v>
      </c>
      <c r="K91" s="464"/>
      <c r="L91" s="301">
        <f>SUM(L30,L46,L66)</f>
        <v>7410738.3902043998</v>
      </c>
      <c r="M91" s="464"/>
      <c r="N91" s="301">
        <f t="shared" si="6"/>
        <v>2140165.7600000002</v>
      </c>
      <c r="P91" s="442"/>
      <c r="Q91" s="442"/>
      <c r="R91" s="442"/>
      <c r="S91" s="442"/>
      <c r="T91" s="442"/>
      <c r="U91" s="467"/>
    </row>
    <row r="92" spans="1:28" x14ac:dyDescent="0.2">
      <c r="A92" s="103"/>
      <c r="B92" s="307"/>
      <c r="C92" s="308" t="str">
        <f>$AD$9</f>
        <v>PGT (Other)</v>
      </c>
      <c r="D92" s="309"/>
      <c r="E92" s="310">
        <f>SUM(E15:E16,E31:E32,E47:E48,E67:E68,E83:E84)</f>
        <v>8245.3700000000008</v>
      </c>
      <c r="F92" s="444"/>
      <c r="G92" s="444"/>
      <c r="H92" s="444"/>
      <c r="I92" s="311">
        <f t="shared" ref="I92:J92" si="7">SUM(I15:I16,I31:I32,I47:I48,I67:I68,I83:I84)</f>
        <v>-0.41</v>
      </c>
      <c r="J92" s="312">
        <f t="shared" si="7"/>
        <v>8244.9600000000009</v>
      </c>
      <c r="K92" s="313">
        <f>SUM(K15:K16,K31:K32,K47:K48,K67:K68)</f>
        <v>5725247</v>
      </c>
      <c r="L92" s="313">
        <f>SUM(L32,L48,L68)</f>
        <v>1507288.7445387002</v>
      </c>
      <c r="M92" s="466"/>
      <c r="N92" s="313">
        <f>SUM(N15:N16,N31:N32,N47:N48,N67:N68,N83:N84)</f>
        <v>575498.51</v>
      </c>
      <c r="P92" s="444"/>
      <c r="Q92" s="444"/>
      <c r="R92" s="444"/>
      <c r="S92" s="444"/>
      <c r="T92" s="444"/>
      <c r="U92" s="468"/>
    </row>
    <row r="93" spans="1:28" ht="14.25" thickBot="1" x14ac:dyDescent="0.25">
      <c r="A93" s="314"/>
      <c r="B93" s="314"/>
      <c r="C93" s="315" t="s">
        <v>4</v>
      </c>
      <c r="D93" s="316"/>
      <c r="E93" s="317">
        <f>SUM(E85:E92)</f>
        <v>1164908.9800000002</v>
      </c>
      <c r="F93" s="111">
        <f>SUM(F85,F89)</f>
        <v>20925.75</v>
      </c>
      <c r="G93" s="111">
        <f>SUM(G86,G90)</f>
        <v>2171.62</v>
      </c>
      <c r="H93" s="111">
        <f>SUM(H85,H89)</f>
        <v>118.4</v>
      </c>
      <c r="I93" s="111">
        <f t="shared" ref="I93:J93" si="8">SUM(I85:I92)</f>
        <v>1442.74</v>
      </c>
      <c r="J93" s="318">
        <f t="shared" si="8"/>
        <v>1189567.49</v>
      </c>
      <c r="K93" s="319">
        <f>ROUND(SUM(K87:K88,K91:K92),0)</f>
        <v>8316330</v>
      </c>
      <c r="L93" s="319">
        <f>ROUND(SUM(L86:L88,L90:L92),0)</f>
        <v>34938567</v>
      </c>
      <c r="M93" s="319">
        <f>ROUND(M85,0)</f>
        <v>3371274</v>
      </c>
      <c r="N93" s="319">
        <f t="shared" ref="N93" si="9">ROUND(SUM(N85:N92),0)</f>
        <v>67993364</v>
      </c>
      <c r="P93" s="111">
        <f>SUM(P85,P89)</f>
        <v>20483.150000000001</v>
      </c>
      <c r="Q93" s="111">
        <f>SUM(Q85:Q86,Q89:Q90)</f>
        <v>27013.31</v>
      </c>
      <c r="R93" s="111">
        <f>SUM(R85:R86,R89:R90)</f>
        <v>70712.23000000001</v>
      </c>
      <c r="S93" s="112">
        <f>SUM(S86,S90)</f>
        <v>24378.046439999998</v>
      </c>
      <c r="T93" s="112">
        <f>T85</f>
        <v>0</v>
      </c>
      <c r="U93" s="112">
        <f>ROUND(SUM(U85:U86,U89:U90),0)</f>
        <v>3370871</v>
      </c>
    </row>
    <row r="94" spans="1:28" x14ac:dyDescent="0.2">
      <c r="K94" s="320"/>
      <c r="L94" s="320"/>
      <c r="M94" s="320"/>
      <c r="N94" s="320"/>
      <c r="AB94" s="402"/>
    </row>
    <row r="95" spans="1:28" x14ac:dyDescent="0.2">
      <c r="A95" s="9" t="s">
        <v>286</v>
      </c>
      <c r="K95" s="320"/>
      <c r="L95" s="320"/>
      <c r="M95" s="320"/>
      <c r="N95" s="320"/>
      <c r="AB95" s="17"/>
    </row>
    <row r="96" spans="1:28" x14ac:dyDescent="0.2">
      <c r="A96" s="9" t="s">
        <v>287</v>
      </c>
      <c r="K96" s="320"/>
      <c r="L96" s="320"/>
      <c r="M96" s="320"/>
      <c r="N96" s="320"/>
    </row>
    <row r="98" spans="5:21" hidden="1" x14ac:dyDescent="0.2">
      <c r="E98" s="321" t="s">
        <v>43</v>
      </c>
      <c r="F98" s="321" t="s">
        <v>192</v>
      </c>
      <c r="G98" s="321" t="s">
        <v>194</v>
      </c>
      <c r="H98" s="321" t="s">
        <v>195</v>
      </c>
      <c r="I98" s="321" t="s">
        <v>263</v>
      </c>
      <c r="J98" s="321" t="s">
        <v>300</v>
      </c>
      <c r="K98" s="321" t="s">
        <v>301</v>
      </c>
      <c r="L98" s="321" t="s">
        <v>298</v>
      </c>
      <c r="M98" s="321" t="s">
        <v>299</v>
      </c>
      <c r="N98" s="321" t="s">
        <v>302</v>
      </c>
      <c r="P98" s="321" t="s">
        <v>193</v>
      </c>
      <c r="Q98" s="321" t="s">
        <v>262</v>
      </c>
      <c r="R98" s="321" t="s">
        <v>132</v>
      </c>
      <c r="S98" s="321" t="s">
        <v>303</v>
      </c>
      <c r="T98" s="321" t="s">
        <v>304</v>
      </c>
      <c r="U98" s="322" t="s">
        <v>305</v>
      </c>
    </row>
    <row r="99" spans="5:21" s="17" customFormat="1" x14ac:dyDescent="0.2">
      <c r="E99" s="47"/>
      <c r="F99" s="47"/>
      <c r="G99" s="47"/>
      <c r="H99" s="47"/>
      <c r="I99" s="47"/>
      <c r="J99" s="47"/>
      <c r="K99" s="47"/>
      <c r="L99" s="47"/>
      <c r="M99" s="47"/>
      <c r="N99" s="47"/>
      <c r="O99" s="49"/>
      <c r="P99" s="47"/>
      <c r="Q99" s="47"/>
      <c r="R99" s="47"/>
      <c r="S99" s="47"/>
      <c r="T99" s="47"/>
    </row>
  </sheetData>
  <mergeCells count="4">
    <mergeCell ref="A1:J1"/>
    <mergeCell ref="B85:B88"/>
    <mergeCell ref="B57:B58"/>
    <mergeCell ref="P3:U3"/>
  </mergeCells>
  <phoneticPr fontId="0" type="noConversion"/>
  <conditionalFormatting sqref="E5:E93 F89 F85 F57 F41:F42 F33:F34 F25:F26 F17:F18 G19:G20 G27:G28 G35:G36 G43:G44 G58 G86 H85 G90 F93:H93 H89 I5:J93 H5:H6 H11:H12 K9:K10 K15:K16 K23:K24 K31:K32 K39:K40 L40 L38 L36 M34 L32 L30 L28 L24 L22 L20 M18 L44 L46 K47:K48 L48 L52 L54 L56 K55:K56 M50 L64 L66 L68 K67:K68 M70 M85 L86:L88 K88 K92:K93 L90:L93 M93 N5:N93 Q5:R6 U5:U6 Q11:R12 U11:U12 P17:R18 Q19:S20 T18 U17:U20 P25:S26 Q27:S28 U25:U28 P33:S34 T34 U33:U36 Q35:S36 P41:S42 U41:U44 Q43:S44 P57:R57 Q58:R58 U57:U58 P85:U85 Q86:S86 U86 P89:S89 Q90:S90 U89:U90 P93:U93">
    <cfRule type="cellIs" dxfId="2" priority="4" operator="equal">
      <formula>0</formula>
    </cfRule>
  </conditionalFormatting>
  <conditionalFormatting sqref="F5:G16 G17:G18 F19:F20 F21:G24 G25:H26 F27:F32 H7:H10 G29:H34 F35:F40 G37:G42 F43:F56 G45:G57 F58:F84 G59:G85 F86:F88 G87:H88 G89 F90:F92 G91:H92 L5:M16 K5:K8 P5:P16 Q87:U88 T86 T89:T90 Q91:U92 Q59:U84 S57:T58 Q51:U56 U50 Q45:U49 T35:T44 U37:U40 T33 Q29:U32 T25:T28 Q21:U24 T19:T20 T17 Q13:U16 T11:T12 Q7:U10 S5:T6 H11:S123">
    <cfRule type="cellIs" dxfId="1" priority="3" operator="equal">
      <formula>0</formula>
    </cfRule>
  </conditionalFormatting>
  <conditionalFormatting sqref="T50">
    <cfRule type="cellIs" dxfId="0" priority="1" operator="equal">
      <formula>0</formula>
    </cfRule>
  </conditionalFormatting>
  <pageMargins left="0.70866141732283472" right="0.70866141732283472" top="0.74803149606299213" bottom="0.74803149606299213" header="0.31496062992125984" footer="0.31496062992125984"/>
  <pageSetup paperSize="9" scale="58" fitToWidth="2" fitToHeight="2" orientation="landscape" r:id="rId1"/>
  <headerFooter>
    <oddHeader>&amp;CPage &amp;P&amp;R2019-20 Spring individual grant tables.xlsx</oddHeader>
  </headerFooter>
  <rowBreaks count="1" manualBreakCount="1">
    <brk id="48" max="21" man="1"/>
  </rowBreaks>
  <colBreaks count="1" manualBreakCount="1">
    <brk id="14" max="95" man="1"/>
  </colBreaks>
  <ignoredErrors>
    <ignoredError sqref="G93" formula="1"/>
    <ignoredError sqref="K88:K90 U87:U88 R87:R88 K9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N61"/>
  <sheetViews>
    <sheetView showGridLines="0" zoomScaleNormal="100" workbookViewId="0">
      <selection sqref="A1:G1"/>
    </sheetView>
  </sheetViews>
  <sheetFormatPr defaultColWidth="9.140625" defaultRowHeight="15" customHeight="1" x14ac:dyDescent="0.2"/>
  <cols>
    <col min="1" max="1" width="16.85546875" style="9" customWidth="1"/>
    <col min="2" max="2" width="18.7109375" style="9" customWidth="1"/>
    <col min="3" max="3" width="16.7109375" style="9" customWidth="1"/>
    <col min="4" max="4" width="14.28515625" style="9" customWidth="1"/>
    <col min="5" max="5" width="11.5703125" style="9" customWidth="1"/>
    <col min="6" max="6" width="11.140625" style="9" bestFit="1" customWidth="1"/>
    <col min="7" max="7" width="11.140625" style="17" customWidth="1"/>
    <col min="8" max="8" width="13.5703125" style="17" bestFit="1" customWidth="1"/>
    <col min="9" max="11" width="12" style="17" customWidth="1"/>
    <col min="12" max="12" width="11.85546875" style="9" customWidth="1"/>
    <col min="13" max="14" width="9.140625" style="9" customWidth="1"/>
    <col min="15" max="17" width="9.140625" style="9"/>
    <col min="18" max="18" width="14.7109375" style="9" bestFit="1" customWidth="1"/>
    <col min="19" max="16384" width="9.140625" style="9"/>
  </cols>
  <sheetData>
    <row r="1" spans="1:14" ht="15.75" customHeight="1" x14ac:dyDescent="0.25">
      <c r="A1" s="502" t="str">
        <f>'A Summary'!J8</f>
        <v>Providers registered in the 'Approved (fee cap)' category by 15 April 2019 (UKPRN: ALL)</v>
      </c>
      <c r="B1" s="502"/>
      <c r="C1" s="502"/>
      <c r="D1" s="502"/>
      <c r="E1" s="502"/>
      <c r="F1" s="502"/>
      <c r="G1" s="502"/>
      <c r="H1" s="12"/>
      <c r="I1" s="12"/>
      <c r="J1" s="324"/>
      <c r="K1" s="324"/>
      <c r="L1" s="17"/>
    </row>
    <row r="2" spans="1:14" ht="15" customHeight="1" x14ac:dyDescent="0.25">
      <c r="A2" s="323"/>
      <c r="L2" s="17"/>
    </row>
    <row r="3" spans="1:14" ht="15.75" customHeight="1" x14ac:dyDescent="0.25">
      <c r="A3" s="564" t="s">
        <v>258</v>
      </c>
      <c r="B3" s="564"/>
      <c r="C3" s="564"/>
      <c r="D3" s="564"/>
      <c r="E3" s="564"/>
      <c r="F3" s="12"/>
      <c r="G3" s="324"/>
      <c r="H3" s="324"/>
      <c r="I3" s="324"/>
      <c r="J3" s="324"/>
      <c r="K3" s="324"/>
      <c r="L3" s="17"/>
    </row>
    <row r="4" spans="1:14" ht="15" customHeight="1" x14ac:dyDescent="0.2">
      <c r="L4" s="17"/>
    </row>
    <row r="5" spans="1:14" ht="21" customHeight="1" thickBot="1" x14ac:dyDescent="0.25">
      <c r="A5" s="561" t="s">
        <v>224</v>
      </c>
      <c r="B5" s="561"/>
      <c r="C5" s="325"/>
      <c r="E5" s="17"/>
      <c r="F5" s="17"/>
      <c r="L5" s="17"/>
    </row>
    <row r="6" spans="1:14" ht="15" customHeight="1" x14ac:dyDescent="0.2">
      <c r="A6" s="326" t="s">
        <v>13</v>
      </c>
      <c r="B6" s="337" t="s">
        <v>90</v>
      </c>
      <c r="C6" s="115"/>
      <c r="L6" s="17"/>
    </row>
    <row r="7" spans="1:14" ht="15" customHeight="1" x14ac:dyDescent="0.2">
      <c r="A7" s="328" t="s">
        <v>7</v>
      </c>
      <c r="B7" s="329">
        <v>10000</v>
      </c>
      <c r="D7" s="17"/>
      <c r="E7" s="17"/>
      <c r="F7" s="17"/>
      <c r="L7" s="17"/>
    </row>
    <row r="8" spans="1:14" ht="15" customHeight="1" x14ac:dyDescent="0.2">
      <c r="A8" s="330" t="s">
        <v>8</v>
      </c>
      <c r="B8" s="331">
        <v>1500</v>
      </c>
      <c r="D8" s="17"/>
      <c r="E8" s="17"/>
      <c r="F8" s="17"/>
      <c r="L8" s="17"/>
      <c r="N8" s="17"/>
    </row>
    <row r="9" spans="1:14" ht="15" customHeight="1" x14ac:dyDescent="0.2">
      <c r="A9" s="332" t="s">
        <v>26</v>
      </c>
      <c r="B9" s="333">
        <v>250</v>
      </c>
      <c r="D9" s="17"/>
      <c r="E9" s="17"/>
      <c r="F9" s="17"/>
      <c r="L9" s="17"/>
      <c r="N9" s="17"/>
    </row>
    <row r="10" spans="1:14" ht="15" customHeight="1" thickBot="1" x14ac:dyDescent="0.25">
      <c r="A10" s="334" t="s">
        <v>25</v>
      </c>
      <c r="B10" s="398">
        <v>1.0249999999999999</v>
      </c>
      <c r="C10" s="115"/>
      <c r="L10" s="17"/>
    </row>
    <row r="11" spans="1:14" ht="15" customHeight="1" x14ac:dyDescent="0.2">
      <c r="B11" s="335"/>
      <c r="C11" s="336"/>
      <c r="L11" s="17"/>
      <c r="N11" s="10"/>
    </row>
    <row r="12" spans="1:14" ht="21" customHeight="1" thickBot="1" x14ac:dyDescent="0.25">
      <c r="A12" s="561" t="s">
        <v>38</v>
      </c>
      <c r="B12" s="561"/>
      <c r="C12" s="561"/>
      <c r="D12" s="561"/>
      <c r="L12" s="17"/>
      <c r="N12" s="10"/>
    </row>
    <row r="13" spans="1:14" ht="15" customHeight="1" x14ac:dyDescent="0.2">
      <c r="A13" s="337" t="s">
        <v>90</v>
      </c>
      <c r="C13" s="336"/>
      <c r="L13" s="17"/>
      <c r="N13" s="10"/>
    </row>
    <row r="14" spans="1:14" ht="15" customHeight="1" thickBot="1" x14ac:dyDescent="0.25">
      <c r="A14" s="338">
        <v>2315</v>
      </c>
      <c r="C14" s="336"/>
      <c r="L14" s="17"/>
      <c r="N14" s="10"/>
    </row>
    <row r="15" spans="1:14" ht="15" customHeight="1" x14ac:dyDescent="0.2">
      <c r="B15" s="335"/>
      <c r="C15" s="336"/>
      <c r="K15" s="324"/>
      <c r="L15" s="17"/>
      <c r="N15" s="10"/>
    </row>
    <row r="16" spans="1:14" ht="21" customHeight="1" thickBot="1" x14ac:dyDescent="0.25">
      <c r="A16" s="562" t="s">
        <v>189</v>
      </c>
      <c r="B16" s="562"/>
      <c r="C16" s="562"/>
      <c r="D16" s="562"/>
      <c r="L16" s="17"/>
      <c r="N16" s="10"/>
    </row>
    <row r="17" spans="1:14" ht="15" customHeight="1" x14ac:dyDescent="0.2">
      <c r="A17" s="339"/>
      <c r="B17" s="339"/>
      <c r="C17" s="563" t="s">
        <v>90</v>
      </c>
      <c r="D17" s="563"/>
      <c r="E17" s="340"/>
      <c r="L17" s="17"/>
      <c r="N17" s="10"/>
    </row>
    <row r="18" spans="1:14" ht="15" customHeight="1" x14ac:dyDescent="0.2">
      <c r="A18" s="307" t="s">
        <v>117</v>
      </c>
      <c r="B18" s="307"/>
      <c r="C18" s="378" t="s">
        <v>6</v>
      </c>
      <c r="D18" s="378" t="s">
        <v>250</v>
      </c>
      <c r="E18" s="341"/>
      <c r="L18" s="17"/>
      <c r="N18" s="10"/>
    </row>
    <row r="19" spans="1:14" ht="15" customHeight="1" x14ac:dyDescent="0.2">
      <c r="A19" s="342" t="s">
        <v>121</v>
      </c>
      <c r="B19" s="342"/>
      <c r="C19" s="343">
        <v>0</v>
      </c>
      <c r="D19" s="343">
        <v>0</v>
      </c>
      <c r="E19" s="344"/>
      <c r="K19" s="324"/>
      <c r="L19" s="17"/>
      <c r="N19" s="10"/>
    </row>
    <row r="20" spans="1:14" ht="15" customHeight="1" x14ac:dyDescent="0.2">
      <c r="A20" s="345" t="s">
        <v>122</v>
      </c>
      <c r="B20" s="345"/>
      <c r="C20" s="346">
        <v>0</v>
      </c>
      <c r="D20" s="346">
        <v>0</v>
      </c>
      <c r="E20" s="344"/>
      <c r="L20" s="17"/>
      <c r="N20" s="10"/>
    </row>
    <row r="21" spans="1:14" ht="15" customHeight="1" x14ac:dyDescent="0.2">
      <c r="A21" s="345" t="s">
        <v>123</v>
      </c>
      <c r="B21" s="345"/>
      <c r="C21" s="346">
        <v>0</v>
      </c>
      <c r="D21" s="346">
        <v>700</v>
      </c>
      <c r="E21" s="344"/>
      <c r="L21" s="17"/>
      <c r="N21" s="10"/>
    </row>
    <row r="22" spans="1:14" ht="15" customHeight="1" x14ac:dyDescent="0.2">
      <c r="A22" s="345" t="s">
        <v>124</v>
      </c>
      <c r="B22" s="345"/>
      <c r="C22" s="346">
        <v>0</v>
      </c>
      <c r="D22" s="346">
        <v>700</v>
      </c>
      <c r="E22" s="344"/>
      <c r="L22" s="17"/>
      <c r="N22" s="10"/>
    </row>
    <row r="23" spans="1:14" ht="15" customHeight="1" x14ac:dyDescent="0.2">
      <c r="A23" s="347" t="s">
        <v>91</v>
      </c>
      <c r="B23" s="347"/>
      <c r="C23" s="348">
        <v>200</v>
      </c>
      <c r="D23" s="348">
        <v>900</v>
      </c>
      <c r="E23" s="344"/>
      <c r="L23" s="17"/>
      <c r="N23" s="10"/>
    </row>
    <row r="24" spans="1:14" ht="15" customHeight="1" x14ac:dyDescent="0.2">
      <c r="A24" s="345" t="s">
        <v>92</v>
      </c>
      <c r="B24" s="345"/>
      <c r="C24" s="346">
        <v>400</v>
      </c>
      <c r="D24" s="346">
        <v>1100</v>
      </c>
      <c r="E24" s="344"/>
      <c r="L24" s="17"/>
      <c r="N24" s="10"/>
    </row>
    <row r="25" spans="1:14" ht="15" customHeight="1" x14ac:dyDescent="0.2">
      <c r="A25" s="345" t="s">
        <v>98</v>
      </c>
      <c r="B25" s="345"/>
      <c r="C25" s="346">
        <v>400</v>
      </c>
      <c r="D25" s="346">
        <v>1100</v>
      </c>
      <c r="E25" s="344"/>
      <c r="L25" s="17"/>
      <c r="N25" s="10"/>
    </row>
    <row r="26" spans="1:14" ht="15" customHeight="1" x14ac:dyDescent="0.2">
      <c r="A26" s="345" t="s">
        <v>93</v>
      </c>
      <c r="B26" s="345"/>
      <c r="C26" s="346">
        <v>200</v>
      </c>
      <c r="D26" s="346">
        <v>900</v>
      </c>
      <c r="E26" s="344"/>
      <c r="L26" s="17"/>
      <c r="N26" s="10"/>
    </row>
    <row r="27" spans="1:14" ht="15" customHeight="1" x14ac:dyDescent="0.2">
      <c r="A27" s="345" t="s">
        <v>95</v>
      </c>
      <c r="B27" s="345"/>
      <c r="C27" s="346">
        <v>200</v>
      </c>
      <c r="D27" s="346">
        <v>900</v>
      </c>
      <c r="E27" s="344"/>
      <c r="L27" s="17"/>
      <c r="N27" s="10"/>
    </row>
    <row r="28" spans="1:14" ht="15" customHeight="1" x14ac:dyDescent="0.2">
      <c r="A28" s="345" t="s">
        <v>125</v>
      </c>
      <c r="B28" s="345"/>
      <c r="C28" s="346">
        <v>0</v>
      </c>
      <c r="D28" s="346">
        <v>700</v>
      </c>
      <c r="E28" s="344"/>
      <c r="L28" s="17"/>
      <c r="N28" s="10"/>
    </row>
    <row r="29" spans="1:14" ht="15" customHeight="1" x14ac:dyDescent="0.2">
      <c r="A29" s="345" t="s">
        <v>126</v>
      </c>
      <c r="B29" s="345"/>
      <c r="C29" s="346">
        <v>0</v>
      </c>
      <c r="D29" s="346">
        <v>700</v>
      </c>
      <c r="E29" s="344"/>
      <c r="L29" s="17"/>
      <c r="N29" s="10"/>
    </row>
    <row r="30" spans="1:14" ht="15.75" customHeight="1" x14ac:dyDescent="0.2">
      <c r="A30" s="349" t="s">
        <v>100</v>
      </c>
      <c r="B30" s="349"/>
      <c r="C30" s="346">
        <v>3500</v>
      </c>
      <c r="D30" s="346">
        <v>4200</v>
      </c>
      <c r="E30" s="344"/>
      <c r="L30" s="17"/>
      <c r="N30" s="10"/>
    </row>
    <row r="31" spans="1:14" ht="15" customHeight="1" x14ac:dyDescent="0.2">
      <c r="A31" s="349" t="s">
        <v>101</v>
      </c>
      <c r="B31" s="349"/>
      <c r="C31" s="346">
        <v>3500</v>
      </c>
      <c r="D31" s="346">
        <v>4200</v>
      </c>
      <c r="E31" s="344"/>
      <c r="L31" s="17"/>
      <c r="N31" s="10"/>
    </row>
    <row r="32" spans="1:14" ht="15" customHeight="1" x14ac:dyDescent="0.2">
      <c r="A32" s="349" t="s">
        <v>127</v>
      </c>
      <c r="B32" s="349"/>
      <c r="C32" s="346">
        <v>0</v>
      </c>
      <c r="D32" s="346">
        <v>700</v>
      </c>
      <c r="E32" s="344"/>
      <c r="L32" s="17"/>
      <c r="N32" s="10"/>
    </row>
    <row r="33" spans="1:14" ht="15" customHeight="1" x14ac:dyDescent="0.2">
      <c r="A33" s="349" t="s">
        <v>99</v>
      </c>
      <c r="B33" s="349"/>
      <c r="C33" s="346">
        <v>1200</v>
      </c>
      <c r="D33" s="346">
        <v>1900</v>
      </c>
      <c r="E33" s="344"/>
      <c r="K33" s="324"/>
      <c r="L33" s="17"/>
      <c r="N33" s="10"/>
    </row>
    <row r="34" spans="1:14" ht="15" customHeight="1" x14ac:dyDescent="0.2">
      <c r="A34" s="345" t="s">
        <v>94</v>
      </c>
      <c r="B34" s="345"/>
      <c r="C34" s="346">
        <v>1200</v>
      </c>
      <c r="D34" s="346">
        <v>1900</v>
      </c>
      <c r="E34" s="344"/>
      <c r="K34" s="324"/>
      <c r="L34" s="17"/>
      <c r="N34" s="10"/>
    </row>
    <row r="35" spans="1:14" ht="15" customHeight="1" x14ac:dyDescent="0.2">
      <c r="A35" s="345" t="s">
        <v>96</v>
      </c>
      <c r="B35" s="345"/>
      <c r="C35" s="346">
        <v>1200</v>
      </c>
      <c r="D35" s="346">
        <v>1900</v>
      </c>
      <c r="E35" s="344"/>
      <c r="L35" s="17"/>
      <c r="N35" s="10"/>
    </row>
    <row r="36" spans="1:14" ht="15" customHeight="1" thickBot="1" x14ac:dyDescent="0.25">
      <c r="A36" s="350" t="s">
        <v>97</v>
      </c>
      <c r="B36" s="350"/>
      <c r="C36" s="351">
        <v>200</v>
      </c>
      <c r="D36" s="351">
        <v>900</v>
      </c>
      <c r="E36" s="344"/>
      <c r="L36" s="17"/>
      <c r="N36" s="10"/>
    </row>
    <row r="37" spans="1:14" ht="15" customHeight="1" x14ac:dyDescent="0.2">
      <c r="A37" s="352"/>
      <c r="B37" s="353"/>
      <c r="C37" s="354"/>
      <c r="D37" s="65"/>
      <c r="K37" s="324"/>
      <c r="L37" s="17"/>
      <c r="N37" s="10"/>
    </row>
    <row r="38" spans="1:14" ht="15" customHeight="1" x14ac:dyDescent="0.2">
      <c r="A38" s="355"/>
      <c r="B38" s="344"/>
      <c r="C38" s="356"/>
      <c r="D38" s="115"/>
      <c r="K38" s="324"/>
      <c r="L38" s="17"/>
      <c r="N38" s="10"/>
    </row>
    <row r="39" spans="1:14" ht="21" customHeight="1" thickBot="1" x14ac:dyDescent="0.25">
      <c r="A39" s="561" t="s">
        <v>48</v>
      </c>
      <c r="B39" s="561"/>
      <c r="C39" s="561"/>
      <c r="D39" s="357"/>
      <c r="E39" s="357"/>
      <c r="F39" s="357"/>
      <c r="G39" s="358"/>
      <c r="H39" s="358"/>
      <c r="I39" s="358"/>
      <c r="J39" s="358"/>
      <c r="K39" s="358"/>
      <c r="L39" s="17"/>
    </row>
    <row r="40" spans="1:14" ht="15" customHeight="1" x14ac:dyDescent="0.2">
      <c r="A40" s="326" t="s">
        <v>13</v>
      </c>
      <c r="B40" s="327" t="s">
        <v>5</v>
      </c>
      <c r="C40" s="337" t="s">
        <v>90</v>
      </c>
      <c r="D40" s="357"/>
      <c r="E40" s="357"/>
      <c r="F40" s="357"/>
      <c r="G40" s="358"/>
      <c r="H40" s="358"/>
      <c r="I40" s="358"/>
      <c r="J40" s="358"/>
      <c r="K40" s="358"/>
    </row>
    <row r="41" spans="1:14" ht="15" customHeight="1" thickBot="1" x14ac:dyDescent="0.25">
      <c r="A41" s="359" t="s">
        <v>281</v>
      </c>
      <c r="B41" s="360" t="s">
        <v>280</v>
      </c>
      <c r="C41" s="361">
        <v>1100</v>
      </c>
      <c r="D41" s="357"/>
      <c r="E41" s="357"/>
      <c r="F41" s="357"/>
      <c r="G41" s="358"/>
      <c r="H41" s="358"/>
      <c r="I41" s="358"/>
      <c r="J41" s="358"/>
      <c r="K41" s="9"/>
    </row>
    <row r="42" spans="1:14" ht="15" customHeight="1" x14ac:dyDescent="0.2">
      <c r="A42" s="17"/>
      <c r="B42" s="362"/>
      <c r="C42" s="363"/>
      <c r="D42" s="357"/>
      <c r="E42" s="357"/>
      <c r="F42" s="357"/>
      <c r="G42" s="358"/>
      <c r="H42" s="358"/>
      <c r="I42" s="358"/>
      <c r="J42" s="358"/>
      <c r="K42" s="364"/>
    </row>
    <row r="43" spans="1:14" ht="21" customHeight="1" thickBot="1" x14ac:dyDescent="0.25">
      <c r="A43" s="561" t="s">
        <v>28</v>
      </c>
      <c r="B43" s="561"/>
      <c r="C43" s="561"/>
      <c r="D43" s="357"/>
      <c r="E43" s="357"/>
      <c r="F43" s="357"/>
      <c r="G43" s="358"/>
      <c r="H43" s="358"/>
      <c r="I43" s="358"/>
      <c r="J43" s="358"/>
      <c r="K43" s="358"/>
    </row>
    <row r="44" spans="1:14" ht="15" customHeight="1" x14ac:dyDescent="0.2">
      <c r="A44" s="326" t="s">
        <v>13</v>
      </c>
      <c r="B44" s="337" t="s">
        <v>90</v>
      </c>
      <c r="C44" s="363"/>
      <c r="D44" s="357"/>
      <c r="E44" s="357"/>
      <c r="F44" s="357"/>
      <c r="G44" s="358"/>
      <c r="H44" s="358"/>
      <c r="I44" s="358"/>
      <c r="J44" s="358"/>
      <c r="K44" s="358"/>
    </row>
    <row r="45" spans="1:14" ht="15" customHeight="1" x14ac:dyDescent="0.2">
      <c r="A45" s="365" t="s">
        <v>8</v>
      </c>
      <c r="B45" s="366">
        <v>1108.09302</v>
      </c>
      <c r="C45" s="363"/>
      <c r="D45" s="357"/>
      <c r="E45" s="357"/>
      <c r="F45" s="357"/>
      <c r="G45" s="358"/>
      <c r="H45" s="358"/>
      <c r="I45" s="358"/>
      <c r="J45" s="358"/>
      <c r="K45" s="358"/>
    </row>
    <row r="46" spans="1:14" ht="15" customHeight="1" thickBot="1" x14ac:dyDescent="0.25">
      <c r="A46" s="367" t="s">
        <v>36</v>
      </c>
      <c r="B46" s="368">
        <v>847.36524999999995</v>
      </c>
      <c r="C46" s="363"/>
      <c r="D46" s="357"/>
      <c r="E46" s="357"/>
      <c r="F46" s="357"/>
      <c r="G46" s="358"/>
      <c r="H46" s="358"/>
      <c r="I46" s="358"/>
      <c r="J46" s="358"/>
      <c r="K46" s="358"/>
    </row>
    <row r="47" spans="1:14" ht="15" customHeight="1" x14ac:dyDescent="0.2">
      <c r="A47" s="365"/>
      <c r="B47" s="366"/>
      <c r="C47" s="363"/>
      <c r="D47" s="357"/>
      <c r="E47" s="357"/>
      <c r="F47" s="357"/>
      <c r="G47" s="358"/>
      <c r="H47" s="358"/>
      <c r="I47" s="358"/>
      <c r="J47" s="358"/>
      <c r="K47" s="358"/>
    </row>
    <row r="48" spans="1:14" ht="21" customHeight="1" thickBot="1" x14ac:dyDescent="0.25">
      <c r="A48" s="561" t="s">
        <v>225</v>
      </c>
      <c r="B48" s="561"/>
      <c r="C48" s="561"/>
      <c r="D48" s="561"/>
      <c r="E48" s="357"/>
      <c r="F48" s="357"/>
      <c r="G48" s="358"/>
      <c r="H48" s="358"/>
      <c r="I48" s="358"/>
      <c r="J48" s="358"/>
      <c r="K48" s="358"/>
    </row>
    <row r="49" spans="1:12" ht="15" customHeight="1" x14ac:dyDescent="0.2">
      <c r="A49" s="326" t="s">
        <v>13</v>
      </c>
      <c r="B49" s="337" t="s">
        <v>90</v>
      </c>
      <c r="C49" s="363"/>
      <c r="D49" s="357"/>
      <c r="E49" s="357"/>
      <c r="F49" s="357"/>
      <c r="G49" s="358"/>
      <c r="H49" s="358"/>
      <c r="I49" s="358"/>
      <c r="J49" s="358"/>
      <c r="K49" s="358"/>
    </row>
    <row r="50" spans="1:12" ht="15" customHeight="1" x14ac:dyDescent="0.2">
      <c r="A50" s="369" t="s">
        <v>8</v>
      </c>
      <c r="B50" s="370">
        <v>1438.56954</v>
      </c>
      <c r="C50" s="363"/>
      <c r="D50" s="357"/>
      <c r="E50" s="357"/>
      <c r="F50" s="357"/>
      <c r="G50" s="358"/>
      <c r="H50" s="358"/>
      <c r="I50" s="358"/>
      <c r="J50" s="358"/>
      <c r="K50" s="358"/>
    </row>
    <row r="51" spans="1:12" ht="15" customHeight="1" x14ac:dyDescent="0.2">
      <c r="A51" s="371" t="s">
        <v>36</v>
      </c>
      <c r="B51" s="372">
        <v>1100.08259</v>
      </c>
      <c r="C51" s="363"/>
      <c r="D51" s="357"/>
      <c r="E51" s="357"/>
      <c r="F51" s="357"/>
      <c r="G51" s="358"/>
      <c r="H51" s="358"/>
      <c r="I51" s="358"/>
      <c r="J51" s="358"/>
      <c r="K51" s="358"/>
    </row>
    <row r="52" spans="1:12" ht="15" customHeight="1" thickBot="1" x14ac:dyDescent="0.25">
      <c r="A52" s="367" t="s">
        <v>9</v>
      </c>
      <c r="B52" s="368">
        <v>846.21738000000005</v>
      </c>
      <c r="C52" s="363"/>
      <c r="D52" s="357"/>
      <c r="E52" s="357"/>
      <c r="F52" s="357"/>
      <c r="G52" s="358"/>
      <c r="H52" s="358"/>
      <c r="I52" s="358"/>
      <c r="J52" s="358"/>
      <c r="K52" s="358"/>
    </row>
    <row r="53" spans="1:12" ht="15" customHeight="1" x14ac:dyDescent="0.2">
      <c r="A53" s="365"/>
      <c r="B53" s="366"/>
      <c r="C53" s="363"/>
      <c r="D53" s="357"/>
      <c r="E53" s="357"/>
      <c r="F53" s="357"/>
      <c r="G53" s="358"/>
      <c r="H53" s="358"/>
      <c r="I53" s="358"/>
      <c r="J53" s="358"/>
      <c r="K53" s="358"/>
    </row>
    <row r="54" spans="1:12" ht="21" customHeight="1" thickBot="1" x14ac:dyDescent="0.25">
      <c r="A54" s="561" t="s">
        <v>37</v>
      </c>
      <c r="B54" s="561"/>
      <c r="C54" s="561"/>
      <c r="D54" s="357"/>
      <c r="E54" s="357"/>
      <c r="F54" s="357"/>
      <c r="G54" s="358"/>
      <c r="H54" s="358"/>
      <c r="I54" s="358"/>
      <c r="J54" s="358"/>
      <c r="K54" s="358"/>
      <c r="L54" s="17"/>
    </row>
    <row r="55" spans="1:12" ht="15" customHeight="1" x14ac:dyDescent="0.2">
      <c r="A55" s="326" t="s">
        <v>13</v>
      </c>
      <c r="B55" s="337" t="s">
        <v>90</v>
      </c>
      <c r="C55" s="363"/>
      <c r="D55" s="357"/>
      <c r="E55" s="357"/>
      <c r="G55" s="373"/>
      <c r="H55" s="373"/>
      <c r="I55" s="373"/>
      <c r="J55" s="373"/>
      <c r="K55" s="373"/>
      <c r="L55" s="374"/>
    </row>
    <row r="56" spans="1:12" ht="15" customHeight="1" x14ac:dyDescent="0.2">
      <c r="A56" s="369" t="s">
        <v>7</v>
      </c>
      <c r="B56" s="370" t="s">
        <v>318</v>
      </c>
      <c r="C56" s="363"/>
      <c r="D56" s="357"/>
      <c r="E56" s="357"/>
      <c r="G56" s="46"/>
      <c r="H56" s="46"/>
      <c r="I56" s="46"/>
      <c r="J56" s="46"/>
      <c r="K56" s="46"/>
      <c r="L56" s="374"/>
    </row>
    <row r="57" spans="1:12" ht="15" customHeight="1" x14ac:dyDescent="0.2">
      <c r="A57" s="371" t="s">
        <v>8</v>
      </c>
      <c r="B57" s="372" t="s">
        <v>318</v>
      </c>
      <c r="C57" s="363"/>
      <c r="D57" s="357"/>
      <c r="E57" s="357"/>
      <c r="G57" s="46"/>
      <c r="H57" s="46"/>
      <c r="I57" s="46"/>
      <c r="J57" s="46"/>
      <c r="K57" s="46"/>
      <c r="L57" s="374"/>
    </row>
    <row r="58" spans="1:12" ht="15" customHeight="1" x14ac:dyDescent="0.2">
      <c r="A58" s="375" t="s">
        <v>36</v>
      </c>
      <c r="B58" s="372" t="s">
        <v>318</v>
      </c>
      <c r="C58" s="363"/>
      <c r="D58" s="357"/>
      <c r="E58" s="357"/>
      <c r="G58" s="46"/>
      <c r="H58" s="46"/>
      <c r="I58" s="46"/>
      <c r="J58" s="46"/>
      <c r="K58" s="46"/>
      <c r="L58" s="374"/>
    </row>
    <row r="59" spans="1:12" ht="15" customHeight="1" thickBot="1" x14ac:dyDescent="0.25">
      <c r="A59" s="376" t="s">
        <v>9</v>
      </c>
      <c r="B59" s="368" t="s">
        <v>318</v>
      </c>
      <c r="C59" s="363"/>
      <c r="D59" s="357"/>
      <c r="E59" s="357"/>
      <c r="G59" s="46"/>
      <c r="H59" s="46"/>
      <c r="I59" s="46"/>
      <c r="J59" s="46"/>
      <c r="K59" s="46"/>
      <c r="L59" s="374"/>
    </row>
    <row r="60" spans="1:12" ht="15" customHeight="1" x14ac:dyDescent="0.2">
      <c r="A60" s="17"/>
      <c r="C60" s="17"/>
      <c r="D60" s="17"/>
      <c r="E60" s="17"/>
      <c r="F60" s="17"/>
    </row>
    <row r="61" spans="1:12" ht="15" customHeight="1" x14ac:dyDescent="0.2">
      <c r="B61" s="495"/>
    </row>
  </sheetData>
  <sortState ref="B29:B39">
    <sortCondition ref="B29"/>
  </sortState>
  <mergeCells count="10">
    <mergeCell ref="A3:E3"/>
    <mergeCell ref="A1:G1"/>
    <mergeCell ref="A48:D48"/>
    <mergeCell ref="A5:B5"/>
    <mergeCell ref="A12:D12"/>
    <mergeCell ref="A54:C54"/>
    <mergeCell ref="A43:C43"/>
    <mergeCell ref="A39:C39"/>
    <mergeCell ref="A16:D16"/>
    <mergeCell ref="C17:D17"/>
  </mergeCells>
  <phoneticPr fontId="0" type="noConversion"/>
  <hyperlinks>
    <hyperlink ref="A5" location="'B High-cost'!A1" display="High-cost subject funding"/>
    <hyperlink ref="A12" location="'D Erasmus+'!A1" display="Erasmus+ and overseas study programmes"/>
    <hyperlink ref="A16" location="'E Health supplement'!A1" display="Nursing and allied health supplement"/>
    <hyperlink ref="A39" location="PGTS_TA" display="Postgraduate taught supplement"/>
    <hyperlink ref="A43" location="INT_TA" display="Intensive postgraduate provision"/>
    <hyperlink ref="A48" location="ACCL_TA" display="Accelerated full-time undergraduate provision"/>
    <hyperlink ref="A54" location="LOND_TA" display="Students attending courses in London"/>
    <hyperlink ref="A5:B5" location="HIGHCOST" display="High-cost subject funding"/>
    <hyperlink ref="A12:C12" location="ERAS_TA" display="Erasmus+ and overseas study programmes"/>
    <hyperlink ref="A16:D16" location="HEALTH_TA" display="Nursing and allied health supplement"/>
  </hyperlinks>
  <pageMargins left="0.70866141732283472" right="0.70866141732283472" top="0.74803149606299213" bottom="0.74803149606299213" header="0.31496062992125984" footer="0.31496062992125984"/>
  <pageSetup paperSize="9" scale="54" orientation="landscape" r:id="rId1"/>
  <headerFooter>
    <oddHeader>&amp;CPage &amp;P&amp;R2019-20 Spring individual grant tables.xlsx</oddHeader>
  </headerFooter>
  <ignoredErrors>
    <ignoredError sqref="A2:H2 A4:H9 B3:H3 A19:H40 A18:C18 E18:H18 A42:H44 A11:H17 A10 C10:H10 C41:H41 A1:G1 A47:H49 A45 C45:H45 A46 C46:H46 A53:H55 A50 C50:H50 A51 C51:H51 A52 C52:H52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90</vt:i4>
      </vt:variant>
    </vt:vector>
  </HeadingPairs>
  <TitlesOfParts>
    <vt:vector size="99" baseType="lpstr">
      <vt:lpstr>Information</vt:lpstr>
      <vt:lpstr>A Summary</vt:lpstr>
      <vt:lpstr>B High-cost</vt:lpstr>
      <vt:lpstr>C Student premium</vt:lpstr>
      <vt:lpstr>D Erasmus+</vt:lpstr>
      <vt:lpstr>E NMAH supplement</vt:lpstr>
      <vt:lpstr>F Very high-cost STEM subjects</vt:lpstr>
      <vt:lpstr>G Other TAs</vt:lpstr>
      <vt:lpstr>H Parameters</vt:lpstr>
      <vt:lpstr>A_datacols1</vt:lpstr>
      <vt:lpstr>A_datacols2</vt:lpstr>
      <vt:lpstr>A_rowtags1</vt:lpstr>
      <vt:lpstr>A_rowtags2</vt:lpstr>
      <vt:lpstr>A_rowtags3</vt:lpstr>
      <vt:lpstr>A_rowvars</vt:lpstr>
      <vt:lpstr>ACCL_TA</vt:lpstr>
      <vt:lpstr>B_datacols1</vt:lpstr>
      <vt:lpstr>B_datacols2</vt:lpstr>
      <vt:lpstr>B_rowtags</vt:lpstr>
      <vt:lpstr>B_rowvars</vt:lpstr>
      <vt:lpstr>C_datacols</vt:lpstr>
      <vt:lpstr>C_rowtags1</vt:lpstr>
      <vt:lpstr>C_rowtags11</vt:lpstr>
      <vt:lpstr>C_rowtags12</vt:lpstr>
      <vt:lpstr>C_rowtags13</vt:lpstr>
      <vt:lpstr>C_rowtags15</vt:lpstr>
      <vt:lpstr>C_rowtags16</vt:lpstr>
      <vt:lpstr>C_rowtags2</vt:lpstr>
      <vt:lpstr>C_rowtags4</vt:lpstr>
      <vt:lpstr>C_rowtags5</vt:lpstr>
      <vt:lpstr>C_rowtags6</vt:lpstr>
      <vt:lpstr>C_rowtags8</vt:lpstr>
      <vt:lpstr>C_rowtags9</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E_coltags1</vt:lpstr>
      <vt:lpstr>E_coltags2</vt:lpstr>
      <vt:lpstr>E_coltags3</vt:lpstr>
      <vt:lpstr>E_colvars</vt:lpstr>
      <vt:lpstr>E_datacols</vt:lpstr>
      <vt:lpstr>E_rowtags</vt:lpstr>
      <vt:lpstr>E_rowvars</vt:lpstr>
      <vt:lpstr>ERAS_TA</vt:lpstr>
      <vt:lpstr>F_datacols</vt:lpstr>
      <vt:lpstr>F_rowtags1</vt:lpstr>
      <vt:lpstr>F_rowtags2</vt:lpstr>
      <vt:lpstr>F_rowvars</vt:lpstr>
      <vt:lpstr>G_datacols1</vt:lpstr>
      <vt:lpstr>G_datacols2</vt:lpstr>
      <vt:lpstr>G_rowtags</vt:lpstr>
      <vt:lpstr>G_rowvars</vt:lpstr>
      <vt:lpstr>H_datacols</vt:lpstr>
      <vt:lpstr>H_rowtags</vt:lpstr>
      <vt:lpstr>H_rowvars</vt:lpstr>
      <vt:lpstr>HEALTH_TA</vt:lpstr>
      <vt:lpstr>HIGHCOST</vt:lpstr>
      <vt:lpstr>INT_TA</vt:lpstr>
      <vt:lpstr>LOND_TA</vt:lpstr>
      <vt:lpstr>MEDINTAR</vt:lpstr>
      <vt:lpstr>MEDINTAR_ISOV</vt:lpstr>
      <vt:lpstr>PGTS_TA</vt:lpstr>
      <vt:lpstr>'A Summary'!Print_Area</vt:lpstr>
      <vt:lpstr>'B High-cost'!Print_Area</vt:lpstr>
      <vt:lpstr>'C Student premium'!Print_Area</vt:lpstr>
      <vt:lpstr>'D Erasmus+'!Print_Area</vt:lpstr>
      <vt:lpstr>'E NMAH supplement'!Print_Area</vt:lpstr>
      <vt:lpstr>'F Very high-cost STEM subjects'!Print_Area</vt:lpstr>
      <vt:lpstr>'G Other TAs'!Print_Area</vt:lpstr>
      <vt:lpstr>'H Parameters'!Print_Area</vt:lpstr>
      <vt:lpstr>Information!Print_Area</vt:lpstr>
      <vt:lpstr>'G Other TAs'!Print_Titles</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TABLEH</vt:lpstr>
      <vt:lpstr>UKPRN</vt:lpstr>
      <vt:lpstr>VHCSS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2019-04-30T11:17:36Z</cp:lastPrinted>
  <dcterms:created xsi:type="dcterms:W3CDTF">1998-01-04T14:28:05Z</dcterms:created>
  <dcterms:modified xsi:type="dcterms:W3CDTF">2019-04-30T11:21:14Z</dcterms:modified>
</cp:coreProperties>
</file>