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18-19\Teaching\Grant tables\Outputs\October 2018\Sector\"/>
    </mc:Choice>
  </mc:AlternateContent>
  <bookViews>
    <workbookView xWindow="0" yWindow="45" windowWidth="5745" windowHeight="5670" tabRatio="769"/>
  </bookViews>
  <sheets>
    <sheet name="Information" sheetId="79" r:id="rId1"/>
    <sheet name="A Summary" sheetId="77" r:id="rId2"/>
    <sheet name="B High-cost" sheetId="22" r:id="rId3"/>
    <sheet name="C Student premium" sheetId="30" r:id="rId4"/>
    <sheet name="D Erasmus+" sheetId="78" r:id="rId5"/>
    <sheet name="E NMAH supplement" sheetId="80" r:id="rId6"/>
    <sheet name="F Other TAs" sheetId="43" r:id="rId7"/>
    <sheet name="G Parameters" sheetId="17" r:id="rId8"/>
  </sheets>
  <definedNames>
    <definedName name="A_datacols1">'A Summary'!$C$33</definedName>
    <definedName name="A_datacols2">'A Summary'!$E$33</definedName>
    <definedName name="A_hidecols">'A Summary'!$E$35</definedName>
    <definedName name="A_hidecols1">'A Summary'!$E$35</definedName>
    <definedName name="A_hiderows">'A Summary'!$J$16:$J$31</definedName>
    <definedName name="A_hiderows1">'A Summary'!$J$16</definedName>
    <definedName name="A_hiderows2">'A Summary'!$J$25</definedName>
    <definedName name="A_rowtags1">'A Summary'!$H$5</definedName>
    <definedName name="A_rowtags2">'A Summary'!$H$7:$H$22</definedName>
    <definedName name="A_rowtags3">'A Summary'!$H$26:$H$31</definedName>
    <definedName name="A_rowvars">'A Summary'!$H$4</definedName>
    <definedName name="ACCL_TA">'F Other TAs'!$M$4</definedName>
    <definedName name="B_datacols1">'B High-cost'!$D$57:$K$57</definedName>
    <definedName name="B_datacols2">'B High-cost'!$M$57:$O$57</definedName>
    <definedName name="B_hidecols">'B High-cost'!$E$60:$O$60</definedName>
    <definedName name="B_hidecols1">'B High-cost'!$E$60</definedName>
    <definedName name="B_hidecols2">'B High-cost'!$F$60</definedName>
    <definedName name="B_hidecols3">'B High-cost'!$G$60</definedName>
    <definedName name="B_hidecols4">'B High-cost'!$H$60</definedName>
    <definedName name="B_hidecols5">'B High-cost'!$M$60</definedName>
    <definedName name="B_hidecols6">'B High-cost'!$N$60</definedName>
    <definedName name="B_hidecols7">'B High-cost'!$O$60</definedName>
    <definedName name="B_hiderows">'B High-cost'!$U$6:$U$54</definedName>
    <definedName name="B_hiderows1">'B High-cost'!$U$6</definedName>
    <definedName name="B_hiderows2">'B High-cost'!$U$54</definedName>
    <definedName name="B_rowtags">'B High-cost'!$Q$6:$S$47</definedName>
    <definedName name="B_rowvars">'B High-cost'!$Q$5:$S$5</definedName>
    <definedName name="C_datacols">'C Student premium'!$E$81</definedName>
    <definedName name="C_hiderows">'C Student premium'!$L$4:$L$76</definedName>
    <definedName name="C_hiderows1">'C Student premium'!$L$4</definedName>
    <definedName name="C_hiderows2">'C Student premium'!$L$24</definedName>
    <definedName name="C_hiderows3">'C Student premium'!$L$48</definedName>
    <definedName name="C_hiderows4">'C Student premium'!$L$57</definedName>
    <definedName name="C_hiderows5">'C Student premium'!$L$76</definedName>
    <definedName name="C_rowtags1">'C Student premium'!$H$7:$H$14</definedName>
    <definedName name="C_rowtags10">'C Student premium'!$H$54</definedName>
    <definedName name="C_rowtags11">'C Student premium'!$H$55:$H$57</definedName>
    <definedName name="C_rowtags12">'C Student premium'!$H$68:$H$69</definedName>
    <definedName name="C_rowtags13">'C Student premium'!$H$70</definedName>
    <definedName name="C_rowtags14">'C Student premium'!$H$71:$H$72</definedName>
    <definedName name="C_rowtags15">'C Student premium'!$H$73</definedName>
    <definedName name="C_rowtags16">'C Student premium'!$H$74:$H$76</definedName>
    <definedName name="C_rowtags2">'C Student premium'!$H$16:$H$19</definedName>
    <definedName name="C_rowtags3">'C Student premium'!$H$20</definedName>
    <definedName name="C_rowtags4">'C Student premium'!$H$21:$H$24</definedName>
    <definedName name="C_rowtags5">'C Student premium'!$H$30:$H$37</definedName>
    <definedName name="C_rowtags6">'C Student premium'!$H$39:$H$43</definedName>
    <definedName name="C_rowtags7">'C Student premium'!$H$44</definedName>
    <definedName name="C_rowtags8">'C Student premium'!$H$45:$H$48</definedName>
    <definedName name="C_rowtags9">'C Student premium'!$H$53</definedName>
    <definedName name="C_rowvars">'C Student premium'!$H$6</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hidesheet">'D Erasmus+'!$K$2</definedName>
    <definedName name="D_rowtags">'D Erasmus+'!$I$7:$I$8</definedName>
    <definedName name="D_rowvars">'D Erasmus+'!$I$6</definedName>
    <definedName name="DATE">'A Summary'!$J$4</definedName>
    <definedName name="DIS_WHCOUNT">'C Student premium'!$J$66</definedName>
    <definedName name="DISABLED">'C Student premium'!$A$61</definedName>
    <definedName name="E_coltags1">'E NMAH supplement'!$C$47:$D$47</definedName>
    <definedName name="E_coltags2">'E NMAH supplement'!$E$47:$F$47</definedName>
    <definedName name="E_coltags3">'E NMAH supplement'!$G$47:$J$47</definedName>
    <definedName name="E_colvars">'E NMAH supplement'!$A$47</definedName>
    <definedName name="E_datacols">'E NMAH supplement'!$C$48:$J$48</definedName>
    <definedName name="E_hiderows">'E NMAH supplement'!$O$7:$O$42</definedName>
    <definedName name="E_hiderows1">'E NMAH supplement'!$O$7:$O$34</definedName>
    <definedName name="E_hiderows2">'E NMAH supplement'!$O$37:$O$42</definedName>
    <definedName name="E_hidesheet">'E NMAH supplement'!$O$2</definedName>
    <definedName name="E_rowtags">'E NMAH supplement'!$L$7:$M$42</definedName>
    <definedName name="E_rowvars">'E NMAH supplement'!$L$6:$M$6</definedName>
    <definedName name="ERAS_TA">'D Erasmus+'!$G$4</definedName>
    <definedName name="F_datacols1">'F Other TAs'!$E$101:$N$101</definedName>
    <definedName name="F_datacols2">'F Other TAs'!$P$101:$R$101</definedName>
    <definedName name="F_hidecols">'F Other TAs'!$F$104:$R$104</definedName>
    <definedName name="F_hidecols1">'F Other TAs'!$F$104</definedName>
    <definedName name="F_hidecols2">'F Other TAs'!$G$104</definedName>
    <definedName name="F_hidecols3">'F Other TAs'!$H$104</definedName>
    <definedName name="F_hidecols4">'F Other TAs'!$P$104</definedName>
    <definedName name="F_hidecols5">'F Other TAs'!$Q$104</definedName>
    <definedName name="F_hidecols6">'F Other TAs'!$R$104</definedName>
    <definedName name="F_hiderows">'F Other TAs'!$Y$6:$Y$98</definedName>
    <definedName name="F_hiderows1">'F Other TAs'!$Y$6</definedName>
    <definedName name="F_hiderows2">'F Other TAs'!$Y$98</definedName>
    <definedName name="F_rowtags">'F Other TAs'!$T$6:$W$85</definedName>
    <definedName name="F_rowvars">'F Other TAs'!$T$5:$W$5</definedName>
    <definedName name="FECHEALTHFLAG">'A Summary'!$N$2</definedName>
    <definedName name="G_datacols">'G Parameters'!$B$62</definedName>
    <definedName name="G_hiderows">'G Parameters'!$L$7:$L$57</definedName>
    <definedName name="G_hiderows1">'G Parameters'!$L$7</definedName>
    <definedName name="G_hiderows2">'G Parameters'!$L$11</definedName>
    <definedName name="G_hiderows3">'G Parameters'!$L$15</definedName>
    <definedName name="G_hiderows4">'G Parameters'!$L$19</definedName>
    <definedName name="G_hiderows5">'G Parameters'!$L$33</definedName>
    <definedName name="G_hiderows6">'G Parameters'!$L$34</definedName>
    <definedName name="G_hiderows7">'G Parameters'!$L$37</definedName>
    <definedName name="G_hiderows8">'G Parameters'!$L$38</definedName>
    <definedName name="G_hiderows9">'G Parameters'!$L$57</definedName>
    <definedName name="G_rowtags">'G Parameters'!$J$57:$J$60</definedName>
    <definedName name="G_rowvars">'G Parameters'!$J$56</definedName>
    <definedName name="HEALTH_TA">'E NMAH supplement'!$J$4</definedName>
    <definedName name="HEIFLAG">'A Summary'!$M$2</definedName>
    <definedName name="HIGHCOST">'B High-cost'!$K$4</definedName>
    <definedName name="Inf_hiderows">Information!$T$10:$T$16</definedName>
    <definedName name="Inf_hiderows1">Information!$T$10</definedName>
    <definedName name="Inf_hiderows2">Information!$T$11</definedName>
    <definedName name="Inf_hiderows3">Information!$T$12</definedName>
    <definedName name="Inf_hiderows4">Information!$T$13</definedName>
    <definedName name="INT_TA">'F Other TAs'!$L$4</definedName>
    <definedName name="LOND_TA">'F Other TAs'!$N$4</definedName>
    <definedName name="MEDDENTFLAG">'A Summary'!$L$2</definedName>
    <definedName name="NEWPROVFLAG">'A Summary'!$O$2</definedName>
    <definedName name="PGTS_TA">'F Other TAs'!$K$4</definedName>
    <definedName name="_xlnm.Print_Area" localSheetId="1">'A Summary'!$A$1:$E$31</definedName>
    <definedName name="_xlnm.Print_Area" localSheetId="2">'B High-cost'!$A$1:$O$55</definedName>
    <definedName name="_xlnm.Print_Area" localSheetId="3">'C Student premium'!$A$1:$F$79</definedName>
    <definedName name="_xlnm.Print_Area" localSheetId="4">'D Erasmus+'!$A$1:$G$9</definedName>
    <definedName name="_xlnm.Print_Area" localSheetId="5">'E NMAH supplement'!$A$1:$J$45</definedName>
    <definedName name="_xlnm.Print_Area" localSheetId="6">'F Other TAs'!$A$1:$R$99</definedName>
    <definedName name="_xlnm.Print_Area" localSheetId="7">'G Parameters'!$A$1:$H$60</definedName>
    <definedName name="_xlnm.Print_Area" localSheetId="0">Information!$A$1:$R$16</definedName>
    <definedName name="_xlnm.Print_Titles" localSheetId="6">'F Other TAs'!$1:$5</definedName>
    <definedName name="PROVIDER">'A Summary'!$J$2</definedName>
    <definedName name="SP_FT">'C Student premium'!$A$5</definedName>
    <definedName name="SP_PT">'C Student premium'!$A$52</definedName>
    <definedName name="SPDISPOP">'C Student premium'!$J$67</definedName>
    <definedName name="SPDSAALLOC">'C Student premium'!$J$63</definedName>
    <definedName name="SPSDALLOC">'C Student premium'!$J$64</definedName>
    <definedName name="TABLEA">'A Summary'!$A$1</definedName>
    <definedName name="TABLEB">'B High-cost'!$A$1</definedName>
    <definedName name="TABLEC">'C Student premium'!$A$1</definedName>
    <definedName name="TABLED">'D Erasmus+'!$A$1</definedName>
    <definedName name="TABLEE">'E NMAH supplement'!$A$1</definedName>
    <definedName name="TABLEF">'F Other TAs'!$A$1</definedName>
    <definedName name="TABLEG">'G Parameters'!$A$1</definedName>
    <definedName name="TB_hiderows2">#REF!</definedName>
    <definedName name="TF_hiderows2">#REF!</definedName>
    <definedName name="UKPRN">'A Summary'!$K$2</definedName>
  </definedNames>
  <calcPr calcId="152511" forceFullCalc="1"/>
</workbook>
</file>

<file path=xl/calcChain.xml><?xml version="1.0" encoding="utf-8"?>
<calcChain xmlns="http://schemas.openxmlformats.org/spreadsheetml/2006/main">
  <c r="G1" i="30" l="1"/>
  <c r="E73" i="30" l="1"/>
  <c r="W14" i="22" l="1"/>
  <c r="N5" i="22" s="1"/>
  <c r="W13" i="22"/>
  <c r="M4" i="22" s="1"/>
  <c r="AA14" i="43"/>
  <c r="Q5" i="43" s="1"/>
  <c r="AA13" i="43"/>
  <c r="P4" i="43" s="1"/>
  <c r="A55" i="22"/>
  <c r="A99" i="43"/>
  <c r="A79" i="30" l="1"/>
  <c r="J4" i="30" l="1"/>
  <c r="A4" i="30" l="1"/>
  <c r="AA11" i="43" l="1"/>
  <c r="AA10" i="43"/>
  <c r="AA9" i="43"/>
  <c r="AA8" i="43"/>
  <c r="W11" i="22"/>
  <c r="W10" i="22"/>
  <c r="W9" i="22"/>
  <c r="W8" i="22"/>
  <c r="A14" i="79"/>
  <c r="A15" i="79"/>
  <c r="A13" i="79"/>
  <c r="A12" i="79"/>
  <c r="A11" i="79"/>
  <c r="A10" i="79"/>
  <c r="A9" i="79"/>
  <c r="A8" i="79"/>
  <c r="J8" i="30"/>
  <c r="J7" i="30" l="1"/>
  <c r="P5" i="43" l="1"/>
  <c r="H4" i="43"/>
  <c r="G4" i="43"/>
  <c r="F4" i="43"/>
  <c r="F4" i="22"/>
  <c r="E4" i="22"/>
  <c r="M5" i="22"/>
  <c r="G4" i="22"/>
  <c r="J6" i="77" l="1"/>
  <c r="J7" i="77" l="1"/>
  <c r="A4" i="79"/>
  <c r="J8" i="77" l="1"/>
  <c r="A1" i="22" s="1"/>
  <c r="A1" i="17" l="1"/>
  <c r="A1" i="80"/>
  <c r="A1" i="43"/>
  <c r="A1" i="30"/>
  <c r="A1" i="78"/>
  <c r="A1" i="77"/>
  <c r="E62" i="30" l="1"/>
  <c r="E6" i="30"/>
  <c r="E29" i="30" l="1"/>
  <c r="R91" i="43"/>
  <c r="R90" i="43"/>
  <c r="R87" i="43"/>
  <c r="R86" i="43"/>
  <c r="Q91" i="43"/>
  <c r="Q90" i="43"/>
  <c r="Q87" i="43"/>
  <c r="Q86" i="43"/>
  <c r="P86" i="43"/>
  <c r="J45" i="80" l="1"/>
  <c r="M4" i="79" l="1"/>
  <c r="L4" i="79"/>
  <c r="K4" i="79"/>
  <c r="J4" i="79"/>
  <c r="I4" i="79"/>
  <c r="H4" i="79"/>
  <c r="G4" i="79"/>
  <c r="F4" i="79"/>
  <c r="E4" i="79"/>
  <c r="D4" i="79"/>
  <c r="C4" i="79"/>
  <c r="B4" i="79"/>
  <c r="O5" i="80" l="1"/>
  <c r="B8" i="80" s="1"/>
  <c r="B14" i="80" l="1"/>
  <c r="B22" i="80"/>
  <c r="B30" i="80"/>
  <c r="B38" i="80"/>
  <c r="B10" i="80"/>
  <c r="B18" i="80"/>
  <c r="B26" i="80"/>
  <c r="B34" i="80"/>
  <c r="B42" i="80"/>
  <c r="B12" i="80"/>
  <c r="B16" i="80"/>
  <c r="B20" i="80"/>
  <c r="B24" i="80"/>
  <c r="B28" i="80"/>
  <c r="B32" i="80"/>
  <c r="B36" i="80"/>
  <c r="B40" i="80"/>
  <c r="B44" i="80"/>
  <c r="J44" i="80" l="1"/>
  <c r="I44" i="80"/>
  <c r="H44" i="80"/>
  <c r="J43" i="80"/>
  <c r="I43" i="80"/>
  <c r="H43" i="80"/>
  <c r="G43" i="80"/>
  <c r="K43" i="17" l="1"/>
  <c r="B42" i="17" s="1"/>
  <c r="K42" i="17"/>
  <c r="B41" i="17" s="1"/>
  <c r="N1" i="43" l="1"/>
  <c r="R1" i="43"/>
  <c r="K1" i="22"/>
  <c r="O1" i="22"/>
  <c r="F1" i="77"/>
  <c r="E1" i="77"/>
  <c r="H90" i="43" l="1"/>
  <c r="H86" i="43"/>
  <c r="G91" i="43"/>
  <c r="G87" i="43"/>
  <c r="O49" i="22"/>
  <c r="O48" i="22"/>
  <c r="N49" i="22"/>
  <c r="N48" i="22"/>
  <c r="G48" i="22"/>
  <c r="G52" i="22" s="1"/>
  <c r="F49" i="22"/>
  <c r="F52" i="22" s="1"/>
  <c r="H94" i="43" l="1"/>
  <c r="G94" i="43"/>
  <c r="O52" i="22"/>
  <c r="N52" i="22"/>
  <c r="K4" i="78"/>
  <c r="B4" i="78" l="1"/>
  <c r="O4" i="80"/>
  <c r="F86" i="43" l="1"/>
  <c r="E48" i="22"/>
  <c r="Q94" i="43" l="1"/>
  <c r="I45" i="80" l="1"/>
  <c r="H45" i="80"/>
  <c r="G45" i="80"/>
  <c r="F45" i="80"/>
  <c r="E45" i="80"/>
  <c r="D45" i="80"/>
  <c r="C45" i="80"/>
  <c r="F44" i="80"/>
  <c r="D44" i="80"/>
  <c r="F43" i="80"/>
  <c r="E43" i="80"/>
  <c r="D43" i="80"/>
  <c r="C43" i="80"/>
  <c r="C4" i="80" l="1"/>
  <c r="AA7" i="43"/>
  <c r="E4" i="43" s="1"/>
  <c r="W7" i="22"/>
  <c r="D4" i="22" s="1"/>
  <c r="K41" i="17" l="1"/>
  <c r="A42" i="17" s="1"/>
  <c r="AA19" i="43"/>
  <c r="AA18" i="43"/>
  <c r="AA17" i="43"/>
  <c r="W19" i="22"/>
  <c r="W18" i="22"/>
  <c r="W17" i="22"/>
  <c r="A41" i="17" l="1"/>
  <c r="M48" i="22"/>
  <c r="M52" i="22" s="1"/>
  <c r="P90" i="43"/>
  <c r="P94" i="43" l="1"/>
  <c r="E9" i="78"/>
  <c r="D9" i="78"/>
  <c r="G9" i="78"/>
  <c r="F9" i="78"/>
  <c r="C9" i="78"/>
  <c r="B9" i="78"/>
  <c r="J1" i="80" l="1"/>
  <c r="G1" i="78"/>
  <c r="K4" i="77"/>
  <c r="R94" i="43" l="1"/>
  <c r="N93" i="43"/>
  <c r="N87" i="43"/>
  <c r="N86" i="43"/>
  <c r="M86" i="43"/>
  <c r="M94" i="43" s="1"/>
  <c r="L93" i="43"/>
  <c r="L92" i="43"/>
  <c r="L91" i="43"/>
  <c r="L89" i="43"/>
  <c r="L88" i="43"/>
  <c r="L87" i="43"/>
  <c r="K88" i="43"/>
  <c r="L94" i="43" l="1"/>
  <c r="K93" i="43"/>
  <c r="K92" i="43"/>
  <c r="K89" i="43"/>
  <c r="I86" i="43"/>
  <c r="F90" i="43"/>
  <c r="K51" i="22"/>
  <c r="J51" i="22"/>
  <c r="K50" i="22"/>
  <c r="J50" i="22"/>
  <c r="K49" i="22"/>
  <c r="J49" i="22"/>
  <c r="K48" i="22"/>
  <c r="J48" i="22"/>
  <c r="I49" i="22"/>
  <c r="I50" i="22"/>
  <c r="I51" i="22"/>
  <c r="I48" i="22"/>
  <c r="H48" i="22"/>
  <c r="H52" i="22" s="1"/>
  <c r="E52" i="22"/>
  <c r="K94" i="43" l="1"/>
  <c r="F94" i="43"/>
  <c r="A3" i="77" l="1"/>
  <c r="A7" i="79" s="1"/>
  <c r="J93" i="43" l="1"/>
  <c r="I93" i="43"/>
  <c r="N92" i="43"/>
  <c r="J92" i="43"/>
  <c r="I92" i="43"/>
  <c r="N91" i="43"/>
  <c r="J91" i="43"/>
  <c r="I91" i="43"/>
  <c r="N90" i="43"/>
  <c r="J90" i="43"/>
  <c r="I90" i="43"/>
  <c r="N89" i="43"/>
  <c r="J89" i="43"/>
  <c r="I89" i="43"/>
  <c r="N88" i="43"/>
  <c r="J88" i="43"/>
  <c r="I88" i="43"/>
  <c r="J87" i="43"/>
  <c r="I87" i="43"/>
  <c r="J86" i="43"/>
  <c r="E93" i="43"/>
  <c r="E92" i="43"/>
  <c r="E91" i="43"/>
  <c r="E90" i="43"/>
  <c r="E89" i="43"/>
  <c r="E88" i="43"/>
  <c r="E87" i="43"/>
  <c r="E86" i="43"/>
  <c r="N94" i="43" l="1"/>
  <c r="I94" i="43"/>
  <c r="J94" i="43"/>
  <c r="E94" i="43"/>
  <c r="C8" i="43" l="1"/>
  <c r="C88" i="43"/>
  <c r="C92" i="43"/>
  <c r="C20" i="43"/>
  <c r="C87" i="43"/>
  <c r="C91" i="43"/>
  <c r="C89" i="43"/>
  <c r="C93" i="43"/>
  <c r="C10" i="43"/>
  <c r="C84" i="43"/>
  <c r="C61" i="43"/>
  <c r="C68" i="43"/>
  <c r="C60" i="43"/>
  <c r="C59" i="43"/>
  <c r="C80" i="43"/>
  <c r="C82" i="43"/>
  <c r="C72" i="43"/>
  <c r="C74" i="43"/>
  <c r="C76" i="43"/>
  <c r="C64" i="43"/>
  <c r="C66" i="43"/>
  <c r="C52" i="43"/>
  <c r="C54" i="43"/>
  <c r="C56" i="43"/>
  <c r="C44" i="43"/>
  <c r="C46" i="43"/>
  <c r="C48" i="43"/>
  <c r="C36" i="43"/>
  <c r="C28" i="43"/>
  <c r="C38" i="43"/>
  <c r="C40" i="43"/>
  <c r="C30" i="43"/>
  <c r="C32" i="43"/>
  <c r="C22" i="43"/>
  <c r="C24" i="43"/>
  <c r="C14" i="43"/>
  <c r="C16" i="43"/>
  <c r="C13" i="22" l="1"/>
  <c r="C11" i="22"/>
  <c r="C7" i="22"/>
  <c r="C10" i="22"/>
  <c r="C8" i="22"/>
  <c r="C34" i="22"/>
  <c r="C49" i="22"/>
  <c r="C50" i="22"/>
  <c r="C51" i="22"/>
  <c r="C45" i="22"/>
  <c r="C46" i="22"/>
  <c r="C47" i="22"/>
  <c r="C41" i="22"/>
  <c r="C42" i="22"/>
  <c r="C43" i="22"/>
  <c r="C37" i="22"/>
  <c r="C38" i="22"/>
  <c r="C39" i="22"/>
  <c r="C33" i="22"/>
  <c r="C35" i="22"/>
  <c r="C18" i="22"/>
  <c r="C29" i="22"/>
  <c r="C30" i="22"/>
  <c r="C31" i="22"/>
  <c r="C25" i="22"/>
  <c r="C26" i="22"/>
  <c r="C27" i="22"/>
  <c r="C21" i="22"/>
  <c r="C22" i="22"/>
  <c r="C23" i="22"/>
  <c r="C17" i="22"/>
  <c r="C19" i="22"/>
  <c r="C15" i="22"/>
  <c r="C14" i="22"/>
  <c r="H1" i="17" l="1"/>
  <c r="D51" i="22" l="1"/>
  <c r="D50" i="22"/>
  <c r="D49" i="22"/>
  <c r="K52" i="22" l="1"/>
  <c r="D48" i="22" l="1"/>
  <c r="D52" i="22" s="1"/>
  <c r="J52" i="22" l="1"/>
  <c r="I52" i="22"/>
</calcChain>
</file>

<file path=xl/sharedStrings.xml><?xml version="1.0" encoding="utf-8"?>
<sst xmlns="http://schemas.openxmlformats.org/spreadsheetml/2006/main" count="1264" uniqueCount="297">
  <si>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</si>
  <si>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</si>
  <si>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</si>
  <si>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</si>
  <si>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</si>
  <si>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</si>
  <si>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</si>
  <si>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</si>
  <si>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</si>
  <si>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</si>
  <si>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</si>
  <si>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</si>
  <si>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</si>
  <si>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</si>
  <si>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</si>
  <si>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</si>
  <si>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</si>
  <si>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</si>
  <si>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</si>
  <si>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</si>
  <si>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</si>
  <si>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LonWgt</t>
  </si>
  <si>
    <t>DISFTE</t>
  </si>
  <si>
    <t>MINIMUM</t>
  </si>
  <si>
    <t>Senior academic GPs' pay</t>
  </si>
  <si>
    <t>Total teaching funding</t>
  </si>
  <si>
    <t>S</t>
  </si>
  <si>
    <t>L</t>
  </si>
  <si>
    <t>Scaling factor</t>
  </si>
  <si>
    <t>C1</t>
  </si>
  <si>
    <t>C2</t>
  </si>
  <si>
    <t>Intensive postgraduate provision</t>
  </si>
  <si>
    <t>PRICEGRP</t>
  </si>
  <si>
    <t>MODE</t>
  </si>
  <si>
    <t>LEVEL</t>
  </si>
  <si>
    <t>LENGTH</t>
  </si>
  <si>
    <t>PGT_UGF</t>
  </si>
  <si>
    <t>No</t>
  </si>
  <si>
    <t>Tables</t>
  </si>
  <si>
    <t>Yes</t>
  </si>
  <si>
    <t>M_D_ADJ</t>
  </si>
  <si>
    <t>C1 and C2</t>
  </si>
  <si>
    <t>Students attending courses in London</t>
  </si>
  <si>
    <t>Erasmus+ and overseas study programmes</t>
  </si>
  <si>
    <t>Funding agreement requirements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</si>
  <si>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</si>
  <si>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</si>
  <si>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</si>
  <si>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</si>
  <si>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</si>
  <si>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</si>
  <si>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</si>
  <si>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</si>
  <si>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</si>
  <si>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</si>
  <si>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</si>
  <si>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</si>
  <si>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</si>
  <si>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</si>
  <si>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</si>
  <si>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</si>
  <si>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</si>
  <si>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</si>
  <si>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</si>
  <si>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RATE</t>
  </si>
  <si>
    <t>MEDINTAR</t>
  </si>
  <si>
    <t>DENINTAR</t>
  </si>
  <si>
    <t>PGTS_TA</t>
  </si>
  <si>
    <t>INT_TA</t>
  </si>
  <si>
    <t>ACCL_TA</t>
  </si>
  <si>
    <t>ERAS_TA</t>
  </si>
  <si>
    <t>LOND_TA</t>
  </si>
  <si>
    <t>SCI_TA</t>
  </si>
  <si>
    <t>IS_TA</t>
  </si>
  <si>
    <t>CCPAY_TA</t>
  </si>
  <si>
    <t>SAGP_TA</t>
  </si>
  <si>
    <t>NHS_TA</t>
  </si>
  <si>
    <t>HEI flag</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</si>
  <si>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</si>
  <si>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</si>
  <si>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</si>
  <si>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</si>
  <si>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</si>
  <si>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</si>
  <si>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</si>
  <si>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</si>
  <si>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</si>
  <si>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</si>
  <si>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</si>
  <si>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</si>
  <si>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</si>
  <si>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</si>
  <si>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</si>
  <si>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DIS_MIN</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</si>
  <si>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</si>
  <si>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</si>
  <si>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</si>
  <si>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</si>
  <si>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</si>
  <si>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</si>
  <si>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</si>
  <si>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</si>
  <si>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</si>
  <si>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</si>
  <si>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</si>
  <si>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</si>
  <si>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</si>
  <si>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</si>
  <si>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</si>
  <si>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</si>
  <si>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</si>
  <si>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</si>
  <si>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</si>
  <si>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</si>
  <si>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</si>
  <si>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</si>
  <si>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</si>
  <si>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Headings</t>
  </si>
  <si>
    <t>DIS_WHCOUNT</t>
  </si>
  <si>
    <t>UKPRN</t>
  </si>
  <si>
    <t>Total targeted allocations</t>
  </si>
  <si>
    <t>Table C: 2018-19 Student premium allocations</t>
  </si>
  <si>
    <t>Table D: 2018-19 Erasmus+ and overseas study programmes</t>
  </si>
  <si>
    <t>Med/Dent flag</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</si>
  <si>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</si>
  <si>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</si>
  <si>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</si>
  <si>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</si>
  <si>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</si>
  <si>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</si>
  <si>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</si>
  <si>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</si>
  <si>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</si>
  <si>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</si>
  <si>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</si>
  <si>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</si>
  <si>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</si>
  <si>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</si>
  <si>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</si>
  <si>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</si>
  <si>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</si>
  <si>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</si>
  <si>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HIGHCOST18</t>
  </si>
  <si>
    <t>FTE18</t>
  </si>
  <si>
    <t>FTEADJ18</t>
  </si>
  <si>
    <t>HC18_HEALTH</t>
  </si>
  <si>
    <t>ERAS_TA18</t>
  </si>
  <si>
    <t>TA_FTE18</t>
  </si>
  <si>
    <t>PGTS_TA18</t>
  </si>
  <si>
    <t>INT_TA18</t>
  </si>
  <si>
    <t>ACCL_TA18</t>
  </si>
  <si>
    <t>LOND_TA18</t>
  </si>
  <si>
    <t>LOND_TA18_HEALTH</t>
  </si>
  <si>
    <t>HEALTH_TA18</t>
  </si>
  <si>
    <t>Medical intake target for 2018-19</t>
  </si>
  <si>
    <t>Dental intake target for 2018-19</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</si>
  <si>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</si>
  <si>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</si>
  <si>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</si>
  <si>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</si>
  <si>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</si>
  <si>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</si>
  <si>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</si>
  <si>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</si>
  <si>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</si>
  <si>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</si>
  <si>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</si>
  <si>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</si>
  <si>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</si>
  <si>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</si>
  <si>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</si>
  <si>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</si>
  <si>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</si>
  <si>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</si>
  <si>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</si>
  <si>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</si>
  <si>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</si>
  <si>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</si>
  <si>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</si>
  <si>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</si>
  <si>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</si>
  <si>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</si>
  <si>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</si>
  <si>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2017-18 Disabled students' premium (£)</t>
  </si>
  <si>
    <t>Additional medical places for 2018-19</t>
  </si>
  <si>
    <t>MEDINTAR_ISOV</t>
  </si>
  <si>
    <t>MEDINTAR_BASE</t>
  </si>
  <si>
    <t>ADDMED</t>
  </si>
  <si>
    <t>DENINTAR_ISOV</t>
  </si>
  <si>
    <t>ERASSTU17</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</si>
  <si>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</si>
  <si>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</si>
  <si>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</si>
  <si>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</si>
  <si>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</si>
  <si>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</si>
  <si>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</si>
  <si>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</si>
  <si>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</si>
  <si>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</si>
  <si>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</si>
  <si>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</si>
  <si>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</si>
  <si>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</si>
  <si>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</si>
  <si>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</si>
  <si>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</si>
  <si>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</si>
  <si>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</si>
  <si>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</si>
  <si>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</si>
  <si>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</si>
  <si>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</si>
  <si>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</si>
  <si>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</si>
  <si>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</si>
  <si>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</si>
  <si>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</si>
  <si>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</si>
  <si>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</si>
  <si>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Table F: 2018-19 Other targeted allocations</t>
  </si>
  <si>
    <t>Total FTEs for 2018-19 other targeted allocations</t>
  </si>
  <si>
    <t>Heading</t>
  </si>
  <si>
    <t>Medical intake target for 2017-18</t>
  </si>
  <si>
    <t>Of which maximum overseas numbers</t>
  </si>
  <si>
    <t>Table E: 2018-19 Nursing, midwifery and allied health supplement</t>
  </si>
  <si>
    <t>Nursing, midwifery and allied health supplement (£)</t>
  </si>
  <si>
    <t>Nursing, midwifery and allied health supplement</t>
  </si>
  <si>
    <t>FEC Health flag</t>
  </si>
  <si>
    <t>Hide for FECs</t>
  </si>
  <si>
    <t>Hide for none med/dent</t>
  </si>
  <si>
    <t>Hide for non health FECs</t>
  </si>
  <si>
    <t>Date</t>
  </si>
  <si>
    <t>UGHEALTHFTE1617</t>
  </si>
  <si>
    <t>UGHEALTHFTE1718</t>
  </si>
  <si>
    <t>PGHEALTHFTE1718</t>
  </si>
  <si>
    <t>DENHEALTHFTE1718</t>
  </si>
  <si>
    <t>Fundable</t>
  </si>
  <si>
    <t>Hide sheet</t>
  </si>
  <si>
    <t>Hide for health FECs</t>
  </si>
  <si>
    <t>Hide for HEIs</t>
  </si>
  <si>
    <t>Hide for non health</t>
  </si>
  <si>
    <t>Hide for health</t>
  </si>
  <si>
    <t>Table G: 2018-19 Parameters in the funding models</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</si>
  <si>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</si>
  <si>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</si>
  <si>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</si>
  <si>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</si>
  <si>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</si>
  <si>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</si>
  <si>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</si>
  <si>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</si>
  <si>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</si>
  <si>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</si>
  <si>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</si>
  <si>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</si>
  <si>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</si>
  <si>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</si>
  <si>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</si>
  <si>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</si>
  <si>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Total FTEs for 2018-19¹</t>
  </si>
  <si>
    <t>Of which related to NMAH² funding transfer (£)</t>
  </si>
  <si>
    <t>Provider</t>
  </si>
  <si>
    <t>Provider name</t>
  </si>
  <si>
    <t>¹ From 'F Other TAs' tab of this workbook</t>
  </si>
  <si>
    <t>Of which related to nursing, midwifery and allied health funding transfer (£)</t>
  </si>
  <si>
    <t>Total FTEs for nursing, midwifery and allied health supplement</t>
  </si>
  <si>
    <t>Table B: 2018-19 High-cost subject funding</t>
  </si>
  <si>
    <t>High-cost subject funding (£)</t>
  </si>
  <si>
    <t>Full-time</t>
  </si>
  <si>
    <t>Full-time student premium (main allocation) weighting</t>
  </si>
  <si>
    <t>Total FTEs for 2018-19: Full-time and sandwich year out UG¹</t>
  </si>
  <si>
    <t>Full-time student premium (supplement) weighting</t>
  </si>
  <si>
    <t>Full-time and sandwich year out</t>
  </si>
  <si>
    <t>Part-time</t>
  </si>
  <si>
    <t>Total FTEs for 2018-19: Part-time UG¹</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</si>
  <si>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</si>
  <si>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</si>
  <si>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</si>
  <si>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</si>
  <si>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</si>
  <si>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Total FTEs for 2018-19 high-cost subject funding</t>
  </si>
  <si>
    <t>Accelerated 
full-time undergraduate provision (£)</t>
  </si>
  <si>
    <t>Premium to support successful student outcomes: full-time</t>
  </si>
  <si>
    <t>Adjustment for over-recruitment against medical and dental intake targets</t>
  </si>
  <si>
    <t>Hide for non-new providers</t>
  </si>
  <si>
    <t>New prov flag</t>
  </si>
  <si>
    <t>Very high-cost STEM subjects</t>
  </si>
  <si>
    <t>Headcount of at-risk and disadvantaged students</t>
  </si>
  <si>
    <t>2018-19 Allocation (£)</t>
  </si>
  <si>
    <t>2018-19 October grant tables</t>
  </si>
  <si>
    <t>October 2018</t>
  </si>
  <si>
    <t>¹ Dental hygiene and dental therapy</t>
  </si>
  <si>
    <t>Variable</t>
  </si>
  <si>
    <t>ALL</t>
  </si>
  <si>
    <t>Both</t>
  </si>
  <si>
    <t>The totals for all allocations may not match those on Table A due to rounding differences.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</si>
</sst>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s>
  <fonts count="39"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5"/>
      <color indexed="9"/>
      <name val="Arial"/>
      <family val="2"/>
    </font>
    <font>
      <sz val="10"/>
      <color theme="1"/>
      <name val="Arial"/>
      <family val="2"/>
    </font>
    <font>
      <sz val="10.5"/>
      <color theme="0"/>
      <name val="Arial"/>
      <family val="2"/>
    </font>
    <font>
      <i/>
      <sz val="10.5"/>
      <name val="Arial"/>
      <family val="2"/>
    </font>
    <font>
      <sz val="10.5"/>
      <color theme="0" tint="-4.9989318521683403E-2"/>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6"/>
      <color theme="3" tint="-0.499984740745262"/>
      <name val="Arial"/>
      <family val="2"/>
    </font>
    <font>
      <b/>
      <sz val="12"/>
      <color rgb="FFC00000"/>
      <name val="Arial"/>
      <family val="2"/>
    </font>
  </fonts>
  <fills count="2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rgb="FFFF33CC"/>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7030A0"/>
        <bgColor indexed="64"/>
      </patternFill>
    </fill>
    <fill>
      <patternFill patternType="solid">
        <fgColor rgb="FFFFFF00"/>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style="hair">
        <color indexed="64"/>
      </left>
      <right/>
      <top style="thin">
        <color theme="0" tint="-0.14996795556505021"/>
      </top>
      <bottom style="hair">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style="hair">
        <color indexed="64"/>
      </left>
      <right/>
      <top/>
      <bottom style="thin">
        <color theme="0" tint="-0.14996795556505021"/>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style="hair">
        <color indexed="64"/>
      </left>
      <right/>
      <top style="hair">
        <color indexed="64"/>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style="hair">
        <color indexed="64"/>
      </left>
      <right/>
      <top style="thin">
        <color theme="0" tint="-0.14996795556505021"/>
      </top>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hair">
        <color indexed="64"/>
      </left>
      <right/>
      <top style="double">
        <color indexed="64"/>
      </top>
      <bottom style="thin">
        <color theme="0" tint="-0.14996795556505021"/>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5" fillId="0" borderId="0"/>
    <xf numFmtId="0" fontId="2" fillId="0" borderId="0"/>
    <xf numFmtId="0" fontId="2" fillId="0" borderId="0"/>
    <xf numFmtId="0" fontId="31" fillId="0" borderId="0" applyNumberFormat="0" applyFill="0" applyBorder="0" applyAlignment="0" applyProtection="0"/>
  </cellStyleXfs>
  <cellXfs count="600">
    <xf numFmtId="0" fontId="0" fillId="0" borderId="0" xfId="0"/>
    <xf numFmtId="0" fontId="3" fillId="0" borderId="0" xfId="0" applyFont="1" applyProtection="1"/>
    <xf numFmtId="0" fontId="32" fillId="0" borderId="0" xfId="0" applyFont="1" applyAlignment="1" applyProtection="1"/>
    <xf numFmtId="0" fontId="36" fillId="0" borderId="0" xfId="0" applyFont="1" applyAlignment="1" applyProtection="1">
      <alignment vertical="center"/>
    </xf>
    <xf numFmtId="0" fontId="30" fillId="0" borderId="0" xfId="0" applyFont="1" applyProtection="1"/>
    <xf numFmtId="0" fontId="34" fillId="0" borderId="0" xfId="51" applyFont="1" applyAlignment="1" applyProtection="1"/>
    <xf numFmtId="0" fontId="35" fillId="0" borderId="0" xfId="0" applyFont="1" applyAlignment="1" applyProtection="1">
      <alignment horizontal="right"/>
    </xf>
    <xf numFmtId="0" fontId="3" fillId="20" borderId="0" xfId="0" applyFont="1" applyFill="1" applyProtection="1"/>
    <xf numFmtId="0" fontId="35" fillId="0" borderId="0" xfId="51" applyFont="1" applyAlignment="1" applyProtection="1">
      <alignment horizontal="left"/>
    </xf>
    <xf numFmtId="0" fontId="35" fillId="0" borderId="0" xfId="51" applyFont="1" applyAlignment="1" applyProtection="1"/>
    <xf numFmtId="0" fontId="3" fillId="27" borderId="0" xfId="0" applyFont="1" applyFill="1" applyProtection="1"/>
    <xf numFmtId="3" fontId="23" fillId="0" borderId="0" xfId="0" applyNumberFormat="1" applyFont="1" applyAlignment="1" applyProtection="1">
      <alignment horizontal="right"/>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22" borderId="0" xfId="0" applyFont="1" applyFill="1" applyProtection="1"/>
    <xf numFmtId="0" fontId="23" fillId="26" borderId="0" xfId="0" applyFont="1" applyFill="1" applyProtection="1"/>
    <xf numFmtId="0" fontId="23" fillId="20" borderId="0" xfId="0" applyFont="1" applyFill="1" applyProtection="1"/>
    <xf numFmtId="0" fontId="23" fillId="27"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3"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22"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8" fillId="24" borderId="0" xfId="0" applyNumberFormat="1" applyFont="1" applyFill="1" applyAlignment="1" applyProtection="1">
      <alignmen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6" fillId="0" borderId="0" xfId="0" applyNumberFormat="1" applyFont="1" applyFill="1" applyBorder="1" applyProtection="1"/>
    <xf numFmtId="0" fontId="23" fillId="0" borderId="0" xfId="0" applyFont="1" applyFill="1" applyAlignment="1" applyProtection="1">
      <alignment horizontal="center"/>
    </xf>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left" vertical="center"/>
    </xf>
    <xf numFmtId="0" fontId="23" fillId="0" borderId="0" xfId="0" applyFont="1" applyFill="1" applyBorder="1" applyAlignment="1" applyProtection="1">
      <alignment horizontal="right"/>
    </xf>
    <xf numFmtId="0" fontId="26" fillId="0" borderId="0" xfId="0" applyFont="1" applyFill="1" applyProtection="1"/>
    <xf numFmtId="0" fontId="23" fillId="0" borderId="10" xfId="0" applyFont="1" applyFill="1" applyBorder="1" applyProtection="1"/>
    <xf numFmtId="0" fontId="22" fillId="0" borderId="10" xfId="0" applyFont="1" applyFill="1" applyBorder="1" applyProtection="1"/>
    <xf numFmtId="3" fontId="23" fillId="0" borderId="10" xfId="0" applyNumberFormat="1" applyFont="1" applyFill="1" applyBorder="1" applyAlignment="1" applyProtection="1">
      <alignment horizontal="right"/>
    </xf>
    <xf numFmtId="3" fontId="26" fillId="0" borderId="0" xfId="0" applyNumberFormat="1" applyFont="1" applyFill="1" applyAlignment="1" applyProtection="1">
      <alignment horizontal="left"/>
    </xf>
    <xf numFmtId="0" fontId="23" fillId="0" borderId="0" xfId="0" applyFont="1" applyFill="1" applyBorder="1" applyProtection="1"/>
    <xf numFmtId="0" fontId="22" fillId="0" borderId="0" xfId="0" applyFont="1" applyFill="1" applyBorder="1" applyProtection="1"/>
    <xf numFmtId="3" fontId="26"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3" fontId="22" fillId="0" borderId="0" xfId="0" applyNumberFormat="1" applyFont="1" applyFill="1" applyBorder="1" applyAlignment="1" applyProtection="1">
      <alignment vertical="center"/>
    </xf>
    <xf numFmtId="0" fontId="23" fillId="0" borderId="12" xfId="0" applyFont="1" applyFill="1" applyBorder="1" applyAlignment="1" applyProtection="1">
      <alignment vertical="center"/>
    </xf>
    <xf numFmtId="0" fontId="27" fillId="0" borderId="12" xfId="0" applyFont="1" applyFill="1" applyBorder="1" applyAlignment="1" applyProtection="1">
      <alignment vertical="center"/>
    </xf>
    <xf numFmtId="3" fontId="23" fillId="0" borderId="12" xfId="0" applyNumberFormat="1" applyFont="1" applyFill="1" applyBorder="1" applyAlignment="1" applyProtection="1">
      <alignment horizontal="right" vertical="center"/>
    </xf>
    <xf numFmtId="0" fontId="22" fillId="0" borderId="0" xfId="0" applyFont="1" applyFill="1" applyBorder="1" applyAlignment="1" applyProtection="1"/>
    <xf numFmtId="3" fontId="22" fillId="0" borderId="0" xfId="0" applyNumberFormat="1" applyFont="1" applyFill="1" applyBorder="1" applyAlignment="1" applyProtection="1">
      <alignment horizontal="right"/>
    </xf>
    <xf numFmtId="0" fontId="23" fillId="0" borderId="18" xfId="0" applyFont="1" applyFill="1" applyBorder="1" applyAlignment="1" applyProtection="1">
      <alignment vertical="center"/>
    </xf>
    <xf numFmtId="0" fontId="27"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22"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3" fontId="23" fillId="27" borderId="0" xfId="0" applyNumberFormat="1" applyFont="1" applyFill="1" applyProtection="1"/>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4" fillId="0" borderId="10" xfId="0" applyFont="1" applyFill="1" applyBorder="1" applyAlignment="1" applyProtection="1">
      <alignment horizontal="left"/>
    </xf>
    <xf numFmtId="0" fontId="23" fillId="0" borderId="10" xfId="0" applyFont="1" applyBorder="1" applyProtection="1"/>
    <xf numFmtId="0" fontId="23" fillId="0" borderId="13" xfId="0" applyFont="1" applyBorder="1" applyAlignment="1" applyProtection="1">
      <alignment wrapText="1"/>
    </xf>
    <xf numFmtId="0" fontId="23" fillId="0" borderId="13" xfId="0" applyFont="1" applyBorder="1" applyAlignment="1" applyProtection="1">
      <alignment horizontal="right" wrapText="1"/>
    </xf>
    <xf numFmtId="0" fontId="23" fillId="0" borderId="0" xfId="0" applyFont="1" applyAlignment="1" applyProtection="1">
      <alignment wrapText="1"/>
    </xf>
    <xf numFmtId="0" fontId="23" fillId="0" borderId="13" xfId="0" applyFont="1" applyFill="1" applyBorder="1" applyAlignment="1" applyProtection="1">
      <alignment horizontal="right" wrapText="1"/>
    </xf>
    <xf numFmtId="0" fontId="23" fillId="0" borderId="14" xfId="0" applyFont="1" applyFill="1" applyBorder="1" applyProtection="1"/>
    <xf numFmtId="4" fontId="23" fillId="0" borderId="61" xfId="0" applyNumberFormat="1" applyFont="1" applyFill="1" applyBorder="1" applyProtection="1"/>
    <xf numFmtId="4" fontId="28" fillId="24" borderId="50" xfId="0" applyNumberFormat="1" applyFont="1" applyFill="1" applyBorder="1" applyProtection="1"/>
    <xf numFmtId="4" fontId="23" fillId="25" borderId="50"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22" borderId="0" xfId="0" applyFont="1" applyFill="1" applyBorder="1" applyAlignment="1" applyProtection="1">
      <alignment horizontal="center"/>
    </xf>
    <xf numFmtId="0" fontId="23" fillId="19" borderId="0" xfId="0" applyFont="1" applyFill="1" applyProtection="1"/>
    <xf numFmtId="0" fontId="23" fillId="18" borderId="0" xfId="0" applyFont="1" applyFill="1" applyProtection="1"/>
    <xf numFmtId="4" fontId="23" fillId="0" borderId="97" xfId="0" applyNumberFormat="1" applyFont="1" applyFill="1" applyBorder="1" applyProtection="1"/>
    <xf numFmtId="4" fontId="28" fillId="24" borderId="51" xfId="0" applyNumberFormat="1" applyFont="1" applyFill="1" applyBorder="1" applyProtection="1"/>
    <xf numFmtId="4" fontId="23" fillId="0" borderId="51" xfId="0" applyNumberFormat="1" applyFont="1" applyFill="1" applyBorder="1" applyProtection="1"/>
    <xf numFmtId="3" fontId="23" fillId="0" borderId="51" xfId="0" applyNumberFormat="1" applyFont="1" applyFill="1" applyBorder="1" applyProtection="1"/>
    <xf numFmtId="3" fontId="28" fillId="24" borderId="51"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8" xfId="0" applyNumberFormat="1" applyFont="1" applyFill="1" applyBorder="1" applyProtection="1"/>
    <xf numFmtId="4" fontId="28" fillId="24" borderId="52" xfId="0" applyNumberFormat="1" applyFont="1" applyFill="1" applyBorder="1" applyProtection="1"/>
    <xf numFmtId="170" fontId="28" fillId="24" borderId="52"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3" fontId="28" fillId="24" borderId="52"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74" xfId="0" applyNumberFormat="1" applyFont="1" applyFill="1" applyBorder="1" applyProtection="1"/>
    <xf numFmtId="4" fontId="28" fillId="24" borderId="53" xfId="0" applyNumberFormat="1" applyFont="1" applyFill="1" applyBorder="1" applyProtection="1"/>
    <xf numFmtId="4" fontId="23" fillId="25" borderId="53" xfId="0" applyNumberFormat="1" applyFont="1" applyFill="1" applyBorder="1" applyProtection="1"/>
    <xf numFmtId="170" fontId="28" fillId="24" borderId="53" xfId="0" applyNumberFormat="1" applyFont="1" applyFill="1" applyBorder="1" applyProtection="1"/>
    <xf numFmtId="4" fontId="23" fillId="0" borderId="53" xfId="0" applyNumberFormat="1" applyFont="1" applyFill="1" applyBorder="1" applyProtection="1"/>
    <xf numFmtId="3" fontId="23" fillId="0" borderId="53" xfId="0" applyNumberFormat="1" applyFont="1" applyFill="1" applyBorder="1" applyProtection="1"/>
    <xf numFmtId="170" fontId="28" fillId="24" borderId="51"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88" xfId="0" applyNumberFormat="1" applyFont="1" applyFill="1" applyBorder="1" applyProtection="1"/>
    <xf numFmtId="4" fontId="28" fillId="24" borderId="54" xfId="0" applyNumberFormat="1" applyFont="1" applyFill="1" applyBorder="1" applyProtection="1"/>
    <xf numFmtId="170" fontId="28" fillId="24" borderId="54" xfId="0" applyNumberFormat="1" applyFont="1" applyFill="1" applyBorder="1" applyProtection="1"/>
    <xf numFmtId="4" fontId="23" fillId="0" borderId="54" xfId="0" applyNumberFormat="1" applyFont="1" applyFill="1" applyBorder="1" applyProtection="1"/>
    <xf numFmtId="3" fontId="23" fillId="0" borderId="54" xfId="0" applyNumberFormat="1" applyFont="1" applyFill="1" applyBorder="1" applyProtection="1"/>
    <xf numFmtId="3" fontId="28" fillId="24" borderId="54" xfId="0" applyNumberFormat="1" applyFont="1" applyFill="1" applyBorder="1" applyProtection="1"/>
    <xf numFmtId="4" fontId="23" fillId="0" borderId="71" xfId="0" applyNumberFormat="1" applyFont="1" applyFill="1" applyBorder="1" applyProtection="1"/>
    <xf numFmtId="4" fontId="23" fillId="0" borderId="55" xfId="0" applyNumberFormat="1" applyFont="1" applyFill="1" applyBorder="1" applyProtection="1"/>
    <xf numFmtId="4" fontId="28" fillId="24" borderId="55" xfId="0" applyNumberFormat="1" applyFont="1" applyFill="1" applyBorder="1" applyProtection="1"/>
    <xf numFmtId="3" fontId="23" fillId="0" borderId="55" xfId="0" applyNumberFormat="1" applyFont="1" applyFill="1" applyBorder="1" applyProtection="1"/>
    <xf numFmtId="170" fontId="28" fillId="24" borderId="55" xfId="0" applyNumberFormat="1" applyFont="1" applyFill="1" applyBorder="1" applyProtection="1"/>
    <xf numFmtId="3" fontId="28" fillId="24" borderId="53" xfId="0" applyNumberFormat="1" applyFont="1" applyFill="1" applyBorder="1" applyProtection="1"/>
    <xf numFmtId="0" fontId="23" fillId="0" borderId="0" xfId="0" applyFont="1" applyFill="1" applyBorder="1" applyAlignment="1" applyProtection="1">
      <alignment wrapText="1"/>
    </xf>
    <xf numFmtId="4" fontId="23" fillId="0" borderId="77" xfId="0" applyNumberFormat="1" applyFont="1" applyFill="1" applyBorder="1" applyProtection="1"/>
    <xf numFmtId="4" fontId="28" fillId="24" borderId="56" xfId="0" applyNumberFormat="1" applyFont="1" applyFill="1" applyBorder="1" applyProtection="1"/>
    <xf numFmtId="170" fontId="28" fillId="24" borderId="56" xfId="0" applyNumberFormat="1" applyFont="1" applyFill="1" applyBorder="1" applyProtection="1"/>
    <xf numFmtId="0" fontId="22" fillId="0" borderId="41" xfId="0" applyFont="1" applyBorder="1" applyProtection="1"/>
    <xf numFmtId="0" fontId="22" fillId="0" borderId="41" xfId="0" applyFont="1" applyBorder="1" applyAlignment="1" applyProtection="1">
      <alignment horizontal="right"/>
    </xf>
    <xf numFmtId="4" fontId="23" fillId="0" borderId="80" xfId="0" applyNumberFormat="1" applyFont="1" applyFill="1" applyBorder="1" applyProtection="1"/>
    <xf numFmtId="4" fontId="23" fillId="0" borderId="57" xfId="0" applyNumberFormat="1" applyFont="1" applyFill="1" applyBorder="1" applyProtection="1"/>
    <xf numFmtId="4" fontId="28" fillId="24" borderId="57" xfId="0" applyNumberFormat="1" applyFont="1" applyFill="1" applyBorder="1" applyProtection="1"/>
    <xf numFmtId="3" fontId="23" fillId="0" borderId="57"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6" xfId="0" applyNumberFormat="1" applyFont="1" applyFill="1" applyBorder="1" applyProtection="1"/>
    <xf numFmtId="3" fontId="23" fillId="0" borderId="56" xfId="0" applyNumberFormat="1" applyFont="1" applyFill="1" applyBorder="1" applyProtection="1"/>
    <xf numFmtId="3" fontId="28" fillId="24" borderId="56"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8"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22" borderId="0" xfId="0" applyFont="1" applyFill="1" applyAlignment="1" applyProtection="1">
      <alignment horizontal="center"/>
    </xf>
    <xf numFmtId="0" fontId="23" fillId="19" borderId="0" xfId="0" applyFont="1" applyFill="1" applyAlignment="1" applyProtection="1">
      <alignment horizontal="right"/>
    </xf>
    <xf numFmtId="0" fontId="23" fillId="26" borderId="0" xfId="0" applyFont="1" applyFill="1" applyAlignment="1" applyProtection="1">
      <alignment horizontal="right"/>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3" fontId="23" fillId="23"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0" fontId="23" fillId="0" borderId="14" xfId="38" applyFont="1" applyBorder="1" applyAlignment="1" applyProtection="1">
      <alignment horizontal="righ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22" borderId="0" xfId="38" applyNumberFormat="1" applyFont="1" applyFill="1" applyAlignment="1" applyProtection="1">
      <alignment horizontal="center"/>
    </xf>
    <xf numFmtId="0" fontId="23" fillId="19"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0" fontId="23" fillId="0" borderId="12" xfId="38" applyFont="1" applyBorder="1" applyAlignment="1" applyProtection="1">
      <alignment horizontal="right" vertical="center"/>
    </xf>
    <xf numFmtId="3" fontId="23" fillId="0" borderId="12" xfId="38" applyNumberFormat="1" applyFont="1" applyBorder="1" applyAlignment="1" applyProtection="1">
      <alignment horizontal="right" vertical="center"/>
    </xf>
    <xf numFmtId="0" fontId="23" fillId="0" borderId="0" xfId="38"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0" fontId="23" fillId="0" borderId="13" xfId="38"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22" borderId="0" xfId="38" applyNumberFormat="1" applyFont="1" applyFill="1" applyAlignment="1" applyProtection="1">
      <alignment horizontal="center"/>
    </xf>
    <xf numFmtId="164" fontId="23" fillId="0" borderId="0" xfId="38" applyNumberFormat="1" applyFont="1" applyFill="1" applyBorder="1" applyAlignment="1" applyProtection="1">
      <alignment horizontal="right" vertic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3" fillId="27" borderId="0" xfId="38" applyFont="1" applyFill="1" applyProtection="1"/>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164" fontId="23" fillId="0" borderId="0" xfId="38" applyNumberFormat="1" applyFont="1" applyBorder="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9" borderId="11" xfId="0" applyFont="1" applyFill="1" applyBorder="1" applyProtection="1"/>
    <xf numFmtId="0" fontId="3" fillId="19" borderId="11" xfId="0" applyFont="1" applyFill="1" applyBorder="1" applyAlignment="1" applyProtection="1">
      <alignment horizontal="right"/>
    </xf>
    <xf numFmtId="0" fontId="23" fillId="19" borderId="11" xfId="0" applyFont="1" applyFill="1" applyBorder="1" applyAlignment="1" applyProtection="1">
      <alignment horizontal="right"/>
    </xf>
    <xf numFmtId="0" fontId="23" fillId="19" borderId="11" xfId="0" applyFont="1" applyFill="1" applyBorder="1" applyAlignment="1" applyProtection="1">
      <alignment horizontal="right" wrapText="1"/>
    </xf>
    <xf numFmtId="0" fontId="23" fillId="21" borderId="0" xfId="38" applyFont="1" applyFill="1" applyAlignment="1" applyProtection="1">
      <alignment horizontal="left"/>
    </xf>
    <xf numFmtId="0" fontId="23" fillId="22" borderId="0" xfId="38" applyFont="1" applyFill="1" applyProtection="1"/>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22"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31" xfId="0" applyFont="1" applyBorder="1" applyAlignment="1" applyProtection="1">
      <alignment horizontal="right" wrapText="1"/>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3"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61" xfId="0" applyNumberFormat="1" applyFont="1" applyBorder="1" applyAlignment="1" applyProtection="1">
      <alignment vertical="center"/>
    </xf>
    <xf numFmtId="3" fontId="23" fillId="0" borderId="50" xfId="0" applyNumberFormat="1" applyFont="1" applyBorder="1" applyAlignment="1" applyProtection="1">
      <alignment vertical="center"/>
    </xf>
    <xf numFmtId="3" fontId="23" fillId="0" borderId="59" xfId="0" applyNumberFormat="1" applyFont="1" applyBorder="1" applyAlignment="1" applyProtection="1">
      <alignment vertical="center"/>
    </xf>
    <xf numFmtId="3" fontId="23" fillId="0" borderId="60" xfId="0" applyNumberFormat="1" applyFont="1" applyBorder="1" applyAlignment="1" applyProtection="1">
      <alignment vertical="center"/>
    </xf>
    <xf numFmtId="0" fontId="23" fillId="0" borderId="58" xfId="0" applyFont="1" applyBorder="1" applyAlignment="1" applyProtection="1">
      <alignment horizontal="right" vertical="center"/>
    </xf>
    <xf numFmtId="3" fontId="23" fillId="0" borderId="65" xfId="0" applyNumberFormat="1" applyFont="1" applyBorder="1" applyAlignment="1" applyProtection="1">
      <alignment vertical="center"/>
    </xf>
    <xf numFmtId="3" fontId="23" fillId="0" borderId="62" xfId="0" applyNumberFormat="1" applyFont="1" applyBorder="1" applyAlignment="1" applyProtection="1">
      <alignment vertical="center"/>
    </xf>
    <xf numFmtId="3" fontId="28" fillId="24" borderId="63" xfId="0" applyNumberFormat="1" applyFont="1" applyFill="1" applyBorder="1" applyAlignment="1" applyProtection="1">
      <alignment vertical="center"/>
    </xf>
    <xf numFmtId="3" fontId="28" fillId="24" borderId="64" xfId="0" applyNumberFormat="1" applyFont="1" applyFill="1" applyBorder="1" applyAlignment="1" applyProtection="1">
      <alignment vertical="center"/>
    </xf>
    <xf numFmtId="0" fontId="22" fillId="0" borderId="35" xfId="0" applyFont="1" applyBorder="1" applyAlignment="1" applyProtection="1">
      <alignment horizontal="right" vertical="center"/>
    </xf>
    <xf numFmtId="3" fontId="23" fillId="0" borderId="39" xfId="0" applyNumberFormat="1" applyFont="1" applyBorder="1" applyAlignment="1" applyProtection="1">
      <alignment vertical="center"/>
    </xf>
    <xf numFmtId="3" fontId="23" fillId="0" borderId="40" xfId="0" applyNumberFormat="1" applyFont="1" applyBorder="1" applyAlignment="1" applyProtection="1">
      <alignmen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0" fontId="23" fillId="23"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3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32" xfId="0" applyFont="1" applyBorder="1" applyAlignment="1" applyProtection="1">
      <alignment horizontal="right" wrapText="1"/>
    </xf>
    <xf numFmtId="0" fontId="23" fillId="0" borderId="33" xfId="0" applyFont="1" applyBorder="1" applyAlignment="1" applyProtection="1">
      <alignment horizontal="right" wrapText="1"/>
    </xf>
    <xf numFmtId="0" fontId="23" fillId="0" borderId="44"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3"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4" fontId="28" fillId="24" borderId="61" xfId="49" applyNumberFormat="1" applyFont="1" applyFill="1" applyBorder="1" applyAlignment="1" applyProtection="1">
      <alignment vertical="center"/>
    </xf>
    <xf numFmtId="4" fontId="23" fillId="0" borderId="50" xfId="49" applyNumberFormat="1" applyFont="1" applyFill="1" applyBorder="1" applyAlignment="1" applyProtection="1">
      <alignment vertical="center"/>
    </xf>
    <xf numFmtId="4" fontId="28" fillId="24" borderId="59" xfId="49" applyNumberFormat="1" applyFont="1" applyFill="1" applyBorder="1" applyAlignment="1" applyProtection="1">
      <alignment vertical="center"/>
    </xf>
    <xf numFmtId="4" fontId="23" fillId="0" borderId="60" xfId="49" applyNumberFormat="1" applyFont="1" applyFill="1" applyBorder="1" applyAlignment="1" applyProtection="1">
      <alignment vertical="center"/>
    </xf>
    <xf numFmtId="4" fontId="28" fillId="24" borderId="50" xfId="49" applyNumberFormat="1" applyFont="1" applyFill="1" applyBorder="1" applyAlignment="1" applyProtection="1">
      <alignment vertical="center"/>
    </xf>
    <xf numFmtId="3" fontId="28" fillId="24" borderId="50" xfId="49" applyNumberFormat="1" applyFont="1" applyFill="1" applyBorder="1" applyAlignment="1" applyProtection="1">
      <alignmen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4" fontId="28" fillId="24" borderId="68" xfId="49" applyNumberFormat="1" applyFont="1" applyFill="1" applyBorder="1" applyAlignment="1" applyProtection="1">
      <alignment vertical="center"/>
    </xf>
    <xf numFmtId="4" fontId="28" fillId="24" borderId="52" xfId="49" applyNumberFormat="1" applyFont="1" applyFill="1" applyBorder="1" applyAlignment="1" applyProtection="1">
      <alignment vertical="center"/>
    </xf>
    <xf numFmtId="4" fontId="28" fillId="24" borderId="66" xfId="49" applyNumberFormat="1" applyFont="1" applyFill="1" applyBorder="1" applyAlignment="1" applyProtection="1">
      <alignment vertical="center"/>
    </xf>
    <xf numFmtId="4" fontId="28" fillId="24" borderId="67" xfId="49" applyNumberFormat="1" applyFont="1" applyFill="1" applyBorder="1" applyAlignment="1" applyProtection="1">
      <alignment vertical="center"/>
    </xf>
    <xf numFmtId="3" fontId="28" fillId="24" borderId="52" xfId="49" applyNumberFormat="1" applyFont="1" applyFill="1" applyBorder="1" applyAlignment="1" applyProtection="1">
      <alignmen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8" fillId="24" borderId="71" xfId="49" applyNumberFormat="1" applyFont="1" applyFill="1" applyBorder="1" applyAlignment="1" applyProtection="1">
      <alignment vertical="center"/>
    </xf>
    <xf numFmtId="4" fontId="23" fillId="0" borderId="55" xfId="49" applyNumberFormat="1" applyFont="1" applyFill="1" applyBorder="1" applyAlignment="1" applyProtection="1">
      <alignment vertical="center"/>
    </xf>
    <xf numFmtId="4" fontId="28" fillId="24" borderId="69" xfId="49" applyNumberFormat="1" applyFont="1" applyFill="1" applyBorder="1" applyAlignment="1" applyProtection="1">
      <alignment vertical="center"/>
    </xf>
    <xf numFmtId="4" fontId="23" fillId="0" borderId="70" xfId="49" applyNumberFormat="1" applyFont="1" applyFill="1" applyBorder="1" applyAlignment="1" applyProtection="1">
      <alignment vertical="center"/>
    </xf>
    <xf numFmtId="4" fontId="28" fillId="24" borderId="55" xfId="49" applyNumberFormat="1" applyFont="1" applyFill="1" applyBorder="1" applyAlignment="1" applyProtection="1">
      <alignment vertical="center"/>
    </xf>
    <xf numFmtId="3" fontId="28" fillId="24" borderId="55" xfId="49" applyNumberFormat="1" applyFont="1" applyFill="1" applyBorder="1" applyAlignment="1" applyProtection="1">
      <alignment vertical="center"/>
    </xf>
    <xf numFmtId="4" fontId="23" fillId="0" borderId="71" xfId="49" applyNumberFormat="1" applyFont="1" applyFill="1" applyBorder="1" applyAlignment="1" applyProtection="1">
      <alignment vertical="center"/>
    </xf>
    <xf numFmtId="4" fontId="23" fillId="0" borderId="69" xfId="49" applyNumberFormat="1" applyFont="1" applyFill="1" applyBorder="1" applyAlignment="1" applyProtection="1">
      <alignment vertical="center"/>
    </xf>
    <xf numFmtId="4" fontId="23" fillId="0" borderId="52" xfId="49" applyNumberFormat="1" applyFont="1" applyFill="1" applyBorder="1" applyAlignment="1" applyProtection="1">
      <alignment vertical="center"/>
    </xf>
    <xf numFmtId="4" fontId="23" fillId="0" borderId="67" xfId="49" applyNumberFormat="1" applyFont="1" applyFill="1" applyBorder="1" applyAlignment="1" applyProtection="1">
      <alignment vertical="center"/>
    </xf>
    <xf numFmtId="3" fontId="23" fillId="0" borderId="52" xfId="49" applyNumberFormat="1" applyFont="1" applyFill="1" applyBorder="1" applyAlignment="1" applyProtection="1">
      <alignment vertical="center"/>
    </xf>
    <xf numFmtId="4" fontId="23" fillId="0" borderId="52" xfId="49" applyNumberFormat="1" applyFont="1" applyBorder="1" applyAlignment="1" applyProtection="1">
      <alignment vertical="center"/>
    </xf>
    <xf numFmtId="3" fontId="23" fillId="0" borderId="52" xfId="49" applyNumberFormat="1" applyFont="1" applyBorder="1" applyAlignment="1" applyProtection="1">
      <alignment vertical="center"/>
    </xf>
    <xf numFmtId="4" fontId="23" fillId="0" borderId="71" xfId="49" applyNumberFormat="1" applyFont="1" applyBorder="1" applyAlignment="1" applyProtection="1">
      <alignment vertical="center"/>
    </xf>
    <xf numFmtId="4" fontId="23" fillId="0" borderId="55" xfId="49" applyNumberFormat="1" applyFont="1" applyBorder="1" applyAlignment="1" applyProtection="1">
      <alignment vertical="center"/>
    </xf>
    <xf numFmtId="3" fontId="23" fillId="0" borderId="55"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74" xfId="49" applyNumberFormat="1" applyFont="1" applyFill="1" applyBorder="1" applyAlignment="1" applyProtection="1">
      <alignment vertical="center"/>
    </xf>
    <xf numFmtId="4" fontId="23" fillId="0" borderId="53" xfId="49" applyNumberFormat="1" applyFont="1" applyFill="1" applyBorder="1" applyAlignment="1" applyProtection="1">
      <alignment vertical="center"/>
    </xf>
    <xf numFmtId="4" fontId="23" fillId="0" borderId="72" xfId="49" applyNumberFormat="1" applyFont="1" applyFill="1" applyBorder="1" applyAlignment="1" applyProtection="1">
      <alignment vertical="center"/>
    </xf>
    <xf numFmtId="4" fontId="23" fillId="0" borderId="73" xfId="49" applyNumberFormat="1" applyFont="1" applyFill="1" applyBorder="1" applyAlignment="1" applyProtection="1">
      <alignment vertical="center"/>
    </xf>
    <xf numFmtId="4" fontId="23" fillId="0" borderId="74" xfId="49" applyNumberFormat="1" applyFont="1" applyBorder="1" applyAlignment="1" applyProtection="1">
      <alignment vertical="center"/>
    </xf>
    <xf numFmtId="4" fontId="23" fillId="0" borderId="53" xfId="49" applyNumberFormat="1" applyFont="1" applyBorder="1" applyAlignment="1" applyProtection="1">
      <alignment vertical="center"/>
    </xf>
    <xf numFmtId="3" fontId="23" fillId="0" borderId="53" xfId="49" applyNumberFormat="1" applyFont="1" applyBorder="1" applyAlignment="1" applyProtection="1">
      <alignment vertical="center"/>
    </xf>
    <xf numFmtId="4" fontId="28" fillId="24" borderId="74" xfId="49" applyNumberFormat="1" applyFont="1" applyFill="1" applyBorder="1" applyAlignment="1" applyProtection="1">
      <alignment vertical="center"/>
    </xf>
    <xf numFmtId="4" fontId="28" fillId="24" borderId="53" xfId="49" applyNumberFormat="1" applyFont="1" applyFill="1" applyBorder="1" applyAlignment="1" applyProtection="1">
      <alignment vertical="center"/>
    </xf>
    <xf numFmtId="3" fontId="28" fillId="24" borderId="53" xfId="49" applyNumberFormat="1" applyFont="1" applyFill="1" applyBorder="1" applyAlignment="1" applyProtection="1">
      <alignment vertical="center"/>
    </xf>
    <xf numFmtId="4" fontId="23" fillId="0" borderId="72" xfId="49" applyNumberFormat="1" applyFont="1" applyBorder="1" applyAlignment="1" applyProtection="1">
      <alignment vertical="center"/>
    </xf>
    <xf numFmtId="4" fontId="23" fillId="0" borderId="73" xfId="49" applyNumberFormat="1" applyFont="1" applyBorder="1" applyAlignment="1" applyProtection="1">
      <alignment vertical="center"/>
    </xf>
    <xf numFmtId="4" fontId="23" fillId="0" borderId="67" xfId="49" applyNumberFormat="1" applyFont="1" applyBorder="1" applyAlignment="1" applyProtection="1">
      <alignment vertical="center"/>
    </xf>
    <xf numFmtId="4" fontId="28" fillId="24" borderId="77" xfId="49" applyNumberFormat="1" applyFont="1" applyFill="1" applyBorder="1" applyAlignment="1" applyProtection="1">
      <alignment vertical="center"/>
    </xf>
    <xf numFmtId="4" fontId="23" fillId="0" borderId="56" xfId="49" applyNumberFormat="1" applyFont="1" applyBorder="1" applyAlignment="1" applyProtection="1">
      <alignment vertical="center"/>
    </xf>
    <xf numFmtId="4" fontId="28" fillId="24" borderId="75" xfId="49" applyNumberFormat="1" applyFont="1" applyFill="1" applyBorder="1" applyAlignment="1" applyProtection="1">
      <alignment vertical="center"/>
    </xf>
    <xf numFmtId="4" fontId="23" fillId="0" borderId="76" xfId="49" applyNumberFormat="1" applyFont="1" applyBorder="1" applyAlignment="1" applyProtection="1">
      <alignment vertical="center"/>
    </xf>
    <xf numFmtId="3" fontId="23" fillId="0" borderId="56" xfId="49" applyNumberFormat="1" applyFont="1" applyBorder="1" applyAlignment="1" applyProtection="1">
      <alignment vertical="center"/>
    </xf>
    <xf numFmtId="0" fontId="22" fillId="0" borderId="41" xfId="0" applyFont="1" applyBorder="1" applyAlignment="1" applyProtection="1">
      <alignment horizontal="left" vertical="center" wrapText="1"/>
    </xf>
    <xf numFmtId="0" fontId="22" fillId="0" borderId="41" xfId="0" applyFont="1" applyBorder="1" applyAlignment="1" applyProtection="1">
      <alignment horizontal="right" vertical="center" wrapText="1"/>
    </xf>
    <xf numFmtId="4" fontId="23" fillId="0" borderId="80" xfId="0" applyNumberFormat="1" applyFont="1" applyBorder="1" applyAlignment="1" applyProtection="1">
      <alignment vertical="center" wrapText="1"/>
    </xf>
    <xf numFmtId="4" fontId="23" fillId="0" borderId="57" xfId="0" applyNumberFormat="1" applyFont="1" applyBorder="1" applyAlignment="1" applyProtection="1">
      <alignment vertical="center" wrapText="1"/>
    </xf>
    <xf numFmtId="4" fontId="23" fillId="0" borderId="78" xfId="0" applyNumberFormat="1" applyFont="1" applyBorder="1" applyAlignment="1" applyProtection="1">
      <alignment vertical="center" wrapText="1"/>
    </xf>
    <xf numFmtId="4" fontId="23" fillId="0" borderId="79" xfId="0" applyNumberFormat="1" applyFont="1" applyBorder="1" applyAlignment="1" applyProtection="1">
      <alignment vertical="center" wrapText="1"/>
    </xf>
    <xf numFmtId="3" fontId="23" fillId="0" borderId="57" xfId="44" applyNumberFormat="1" applyFont="1" applyBorder="1" applyAlignment="1" applyProtection="1">
      <alignment vertical="center"/>
    </xf>
    <xf numFmtId="0" fontId="22" fillId="0" borderId="0" xfId="0" applyFont="1" applyBorder="1" applyAlignment="1" applyProtection="1">
      <alignment horizontal="left" vertical="center" wrapText="1"/>
    </xf>
    <xf numFmtId="0" fontId="22" fillId="0" borderId="0" xfId="0" applyFont="1" applyBorder="1" applyAlignment="1" applyProtection="1">
      <alignment horizontal="right" vertical="center" wrapText="1"/>
    </xf>
    <xf numFmtId="4" fontId="28" fillId="24" borderId="77" xfId="0" applyNumberFormat="1" applyFont="1" applyFill="1" applyBorder="1" applyAlignment="1" applyProtection="1">
      <alignment vertical="center" wrapText="1"/>
    </xf>
    <xf numFmtId="4" fontId="23" fillId="0" borderId="56" xfId="0" applyNumberFormat="1" applyFont="1" applyBorder="1" applyAlignment="1" applyProtection="1">
      <alignment vertical="center" wrapText="1"/>
    </xf>
    <xf numFmtId="4" fontId="28" fillId="24" borderId="75" xfId="0" applyNumberFormat="1" applyFont="1" applyFill="1" applyBorder="1" applyAlignment="1" applyProtection="1">
      <alignment vertical="center" wrapText="1"/>
    </xf>
    <xf numFmtId="4" fontId="23" fillId="0" borderId="76" xfId="0" applyNumberFormat="1" applyFont="1" applyBorder="1" applyAlignment="1" applyProtection="1">
      <alignment vertical="center" wrapText="1"/>
    </xf>
    <xf numFmtId="4" fontId="28" fillId="24" borderId="56" xfId="0" applyNumberFormat="1" applyFont="1" applyFill="1" applyBorder="1" applyAlignment="1" applyProtection="1">
      <alignment vertical="center" wrapText="1"/>
    </xf>
    <xf numFmtId="3" fontId="23" fillId="0" borderId="56"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8"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47"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4" fontId="23" fillId="0" borderId="24" xfId="0" applyNumberFormat="1" applyFont="1" applyBorder="1" applyAlignment="1" applyProtection="1">
      <alignment vertical="center" wrapText="1"/>
    </xf>
    <xf numFmtId="3" fontId="23" fillId="0" borderId="24" xfId="44" applyNumberFormat="1" applyFont="1" applyBorder="1" applyAlignment="1" applyProtection="1">
      <alignment vertical="center"/>
    </xf>
    <xf numFmtId="0" fontId="21" fillId="0" borderId="0" xfId="0" applyFont="1" applyFill="1" applyAlignment="1" applyProtection="1">
      <alignment horizontal="left" vertical="top"/>
    </xf>
    <xf numFmtId="0" fontId="22" fillId="0" borderId="10" xfId="0" applyFont="1" applyBorder="1" applyProtection="1"/>
    <xf numFmtId="171" fontId="23" fillId="0" borderId="13" xfId="45" applyFont="1" applyFill="1" applyBorder="1" applyAlignment="1" applyProtection="1">
      <alignment horizontal="right" wrapText="1"/>
    </xf>
    <xf numFmtId="0" fontId="23" fillId="23"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70" xfId="0" applyNumberFormat="1" applyFont="1" applyFill="1" applyBorder="1" applyProtection="1"/>
    <xf numFmtId="3" fontId="28" fillId="24" borderId="55" xfId="44" applyNumberFormat="1" applyFont="1" applyFill="1" applyBorder="1" applyProtection="1"/>
    <xf numFmtId="4" fontId="28" fillId="24" borderId="53" xfId="44" applyNumberFormat="1" applyFont="1" applyFill="1" applyBorder="1" applyProtection="1"/>
    <xf numFmtId="3" fontId="23" fillId="0" borderId="50"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7" xfId="0" applyNumberFormat="1" applyFont="1" applyFill="1" applyBorder="1" applyProtection="1"/>
    <xf numFmtId="3" fontId="28" fillId="24" borderId="52" xfId="44" applyNumberFormat="1" applyFont="1" applyFill="1" applyBorder="1" applyProtection="1"/>
    <xf numFmtId="4" fontId="28" fillId="24" borderId="52" xfId="44" applyNumberFormat="1" applyFont="1" applyFill="1" applyBorder="1" applyProtection="1"/>
    <xf numFmtId="3" fontId="23" fillId="0" borderId="52"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73" xfId="0" applyNumberFormat="1" applyFont="1" applyFill="1" applyBorder="1" applyProtection="1"/>
    <xf numFmtId="3" fontId="23" fillId="0" borderId="55" xfId="44" applyNumberFormat="1" applyFont="1" applyFill="1" applyBorder="1" applyProtection="1"/>
    <xf numFmtId="3" fontId="23" fillId="0" borderId="53" xfId="44" applyNumberFormat="1" applyFont="1" applyFill="1" applyBorder="1" applyProtection="1"/>
    <xf numFmtId="0" fontId="23" fillId="0" borderId="82" xfId="0" applyFont="1" applyBorder="1" applyProtection="1"/>
    <xf numFmtId="0" fontId="23" fillId="0" borderId="82" xfId="0" applyFont="1" applyBorder="1" applyAlignment="1" applyProtection="1">
      <alignment horizontal="right"/>
    </xf>
    <xf numFmtId="4" fontId="23" fillId="0" borderId="87" xfId="0" applyNumberFormat="1" applyFont="1" applyFill="1" applyBorder="1" applyProtection="1"/>
    <xf numFmtId="4" fontId="28" fillId="24" borderId="83" xfId="0" applyNumberFormat="1" applyFont="1" applyFill="1" applyBorder="1" applyProtection="1"/>
    <xf numFmtId="4" fontId="23" fillId="0" borderId="83" xfId="0" applyNumberFormat="1" applyFont="1" applyFill="1" applyBorder="1" applyProtection="1"/>
    <xf numFmtId="4" fontId="23" fillId="0" borderId="84" xfId="0" applyNumberFormat="1" applyFont="1" applyFill="1" applyBorder="1" applyProtection="1"/>
    <xf numFmtId="3" fontId="23" fillId="0" borderId="83" xfId="44" applyNumberFormat="1" applyFont="1" applyFill="1" applyBorder="1" applyProtection="1"/>
    <xf numFmtId="4" fontId="28" fillId="24" borderId="83" xfId="44" applyNumberFormat="1" applyFont="1" applyFill="1" applyBorder="1" applyProtection="1"/>
    <xf numFmtId="3" fontId="28" fillId="24" borderId="83" xfId="0" applyNumberFormat="1" applyFont="1" applyFill="1" applyBorder="1" applyProtection="1"/>
    <xf numFmtId="4" fontId="28" fillId="24" borderId="55" xfId="44" applyNumberFormat="1" applyFont="1" applyFill="1" applyBorder="1" applyProtection="1"/>
    <xf numFmtId="0" fontId="23" fillId="0" borderId="13" xfId="0" applyFont="1" applyBorder="1" applyProtection="1"/>
    <xf numFmtId="4" fontId="23" fillId="0" borderId="81" xfId="0" applyNumberFormat="1" applyFont="1" applyFill="1" applyBorder="1" applyProtection="1"/>
    <xf numFmtId="4" fontId="28" fillId="24" borderId="56" xfId="44" applyNumberFormat="1" applyFont="1" applyFill="1" applyBorder="1" applyProtection="1"/>
    <xf numFmtId="3" fontId="28" fillId="24" borderId="50" xfId="44" applyNumberFormat="1" applyFont="1" applyFill="1" applyBorder="1" applyProtection="1"/>
    <xf numFmtId="4" fontId="28" fillId="24" borderId="50" xfId="44" applyNumberFormat="1" applyFont="1" applyFill="1" applyBorder="1" applyProtection="1"/>
    <xf numFmtId="3" fontId="28" fillId="24" borderId="53" xfId="44" applyNumberFormat="1" applyFont="1" applyFill="1" applyBorder="1" applyProtection="1"/>
    <xf numFmtId="3" fontId="23" fillId="0" borderId="56" xfId="44" applyNumberFormat="1" applyFont="1" applyFill="1" applyBorder="1" applyProtection="1"/>
    <xf numFmtId="3" fontId="23" fillId="0" borderId="54" xfId="44" applyNumberFormat="1" applyFont="1" applyFill="1" applyBorder="1" applyProtection="1"/>
    <xf numFmtId="4" fontId="28" fillId="24" borderId="54" xfId="44" applyNumberFormat="1" applyFont="1" applyFill="1" applyBorder="1" applyProtection="1"/>
    <xf numFmtId="3" fontId="28" fillId="24" borderId="55" xfId="0" applyNumberFormat="1" applyFont="1" applyFill="1" applyBorder="1" applyProtection="1"/>
    <xf numFmtId="3" fontId="28" fillId="24" borderId="56" xfId="44" applyNumberFormat="1" applyFont="1" applyFill="1" applyBorder="1" applyProtection="1"/>
    <xf numFmtId="4" fontId="23" fillId="0" borderId="89" xfId="0" applyNumberFormat="1" applyFont="1" applyFill="1" applyBorder="1" applyProtection="1"/>
    <xf numFmtId="4" fontId="23" fillId="0" borderId="12" xfId="0" applyNumberFormat="1" applyFont="1" applyFill="1" applyBorder="1" applyProtection="1"/>
    <xf numFmtId="4" fontId="28" fillId="24" borderId="12" xfId="0" applyNumberFormat="1" applyFont="1" applyFill="1" applyBorder="1" applyProtection="1"/>
    <xf numFmtId="4" fontId="23" fillId="0" borderId="22" xfId="0" applyNumberFormat="1" applyFont="1" applyFill="1" applyBorder="1" applyProtection="1"/>
    <xf numFmtId="3" fontId="28" fillId="24" borderId="12" xfId="44" applyNumberFormat="1" applyFont="1" applyFill="1" applyBorder="1" applyProtection="1"/>
    <xf numFmtId="4" fontId="28" fillId="24" borderId="12" xfId="44"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90" xfId="0" applyNumberFormat="1" applyFont="1" applyFill="1" applyBorder="1" applyProtection="1"/>
    <xf numFmtId="4" fontId="28" fillId="24" borderId="16" xfId="0" applyNumberFormat="1" applyFont="1" applyFill="1" applyBorder="1" applyProtection="1"/>
    <xf numFmtId="4" fontId="23" fillId="0" borderId="16" xfId="0" applyNumberFormat="1" applyFont="1" applyFill="1" applyBorder="1" applyProtection="1"/>
    <xf numFmtId="4" fontId="28" fillId="24" borderId="16" xfId="44" applyNumberFormat="1" applyFont="1" applyFill="1" applyBorder="1" applyProtection="1"/>
    <xf numFmtId="3" fontId="28" fillId="24" borderId="16" xfId="0" applyNumberFormat="1" applyFont="1" applyFill="1" applyBorder="1" applyProtection="1"/>
    <xf numFmtId="0" fontId="23" fillId="0" borderId="85" xfId="0" applyFont="1" applyBorder="1" applyProtection="1"/>
    <xf numFmtId="0" fontId="23" fillId="0" borderId="85" xfId="0" applyFont="1" applyBorder="1" applyAlignment="1" applyProtection="1">
      <alignment horizontal="right"/>
    </xf>
    <xf numFmtId="4" fontId="23" fillId="0" borderId="91" xfId="0" applyNumberFormat="1" applyFont="1" applyFill="1" applyBorder="1" applyProtection="1"/>
    <xf numFmtId="4" fontId="28" fillId="24" borderId="85" xfId="0" applyNumberFormat="1" applyFont="1" applyFill="1" applyBorder="1" applyProtection="1"/>
    <xf numFmtId="4" fontId="23" fillId="0" borderId="85" xfId="0" applyNumberFormat="1" applyFont="1" applyFill="1" applyBorder="1" applyProtection="1"/>
    <xf numFmtId="4" fontId="23" fillId="0" borderId="86" xfId="0" applyNumberFormat="1" applyFont="1" applyFill="1" applyBorder="1" applyProtection="1"/>
    <xf numFmtId="3" fontId="23" fillId="0" borderId="85" xfId="44" applyNumberFormat="1" applyFont="1" applyFill="1" applyBorder="1" applyProtection="1"/>
    <xf numFmtId="4" fontId="28" fillId="24" borderId="85" xfId="44" applyNumberFormat="1" applyFont="1" applyFill="1" applyBorder="1" applyProtection="1"/>
    <xf numFmtId="3" fontId="28" fillId="24" borderId="85" xfId="0" applyNumberFormat="1" applyFont="1" applyFill="1" applyBorder="1" applyProtection="1"/>
    <xf numFmtId="3" fontId="28" fillId="24" borderId="83" xfId="44" applyNumberFormat="1" applyFont="1" applyFill="1" applyBorder="1" applyProtection="1"/>
    <xf numFmtId="4" fontId="23" fillId="0" borderId="76" xfId="0" applyNumberFormat="1" applyFont="1" applyFill="1" applyBorder="1" applyProtection="1"/>
    <xf numFmtId="0" fontId="22" fillId="0" borderId="42" xfId="0" applyFont="1" applyBorder="1" applyProtection="1"/>
    <xf numFmtId="0" fontId="22" fillId="0" borderId="42" xfId="0" applyFont="1" applyBorder="1" applyAlignment="1" applyProtection="1">
      <alignment horizontal="right"/>
    </xf>
    <xf numFmtId="4" fontId="23" fillId="0" borderId="92" xfId="0" applyNumberFormat="1" applyFont="1" applyFill="1" applyBorder="1" applyProtection="1"/>
    <xf numFmtId="4" fontId="23" fillId="0" borderId="42" xfId="0" applyNumberFormat="1" applyFont="1" applyFill="1" applyBorder="1" applyProtection="1"/>
    <xf numFmtId="4" fontId="28" fillId="24" borderId="42" xfId="0" applyNumberFormat="1" applyFont="1" applyFill="1" applyBorder="1" applyProtection="1"/>
    <xf numFmtId="4" fontId="23" fillId="0" borderId="43" xfId="0" applyNumberFormat="1" applyFont="1" applyFill="1" applyBorder="1" applyProtection="1"/>
    <xf numFmtId="3" fontId="28" fillId="24" borderId="42" xfId="44" applyNumberFormat="1" applyFont="1" applyFill="1" applyBorder="1" applyProtection="1"/>
    <xf numFmtId="3" fontId="23" fillId="0" borderId="42" xfId="44" applyNumberFormat="1" applyFont="1" applyFill="1" applyBorder="1" applyProtection="1"/>
    <xf numFmtId="3" fontId="23" fillId="0" borderId="42"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8" fillId="24" borderId="16" xfId="44"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85" xfId="0" applyFont="1" applyBorder="1" applyProtection="1"/>
    <xf numFmtId="0" fontId="22" fillId="0" borderId="85" xfId="0" applyFont="1" applyBorder="1" applyAlignment="1" applyProtection="1">
      <alignment horizontal="right"/>
    </xf>
    <xf numFmtId="3" fontId="28" fillId="24" borderId="85" xfId="44" applyNumberFormat="1" applyFont="1" applyFill="1" applyBorder="1" applyProtection="1"/>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4" xfId="0" applyNumberFormat="1" applyFont="1" applyFill="1" applyBorder="1" applyProtection="1"/>
    <xf numFmtId="4" fontId="28" fillId="24" borderId="17"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3" fontId="28" fillId="24" borderId="17" xfId="44" applyNumberFormat="1" applyFont="1" applyFill="1" applyBorder="1" applyProtection="1"/>
    <xf numFmtId="3" fontId="28" fillId="24" borderId="17" xfId="0"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8"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22" borderId="0" xfId="0" applyFont="1" applyFill="1" applyBorder="1" applyAlignment="1" applyProtection="1">
      <alignment horizontal="right"/>
    </xf>
    <xf numFmtId="0" fontId="23" fillId="22" borderId="0" xfId="0" applyFont="1" applyFill="1" applyProtection="1"/>
    <xf numFmtId="0" fontId="23" fillId="27" borderId="0" xfId="0" applyFont="1" applyFill="1" applyBorder="1" applyProtection="1"/>
    <xf numFmtId="0" fontId="29"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2" fontId="23" fillId="0" borderId="24" xfId="0" applyNumberFormat="1" applyFont="1" applyFill="1" applyBorder="1" applyAlignment="1" applyProtection="1">
      <alignment horizontal="righ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14" xfId="0" applyFont="1" applyFill="1" applyBorder="1" applyAlignment="1" applyProtection="1">
      <alignment vertical="center"/>
    </xf>
    <xf numFmtId="169" fontId="23" fillId="0" borderId="14" xfId="0" applyNumberFormat="1" applyFont="1" applyFill="1" applyBorder="1" applyAlignment="1" applyProtection="1">
      <alignment horizontal="left" vertical="center"/>
    </xf>
    <xf numFmtId="173" fontId="23" fillId="0" borderId="14" xfId="0" applyNumberFormat="1" applyFont="1" applyFill="1" applyBorder="1" applyAlignment="1" applyProtection="1">
      <alignment horizontal="right" vertical="center"/>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4" fontId="23" fillId="23"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18"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169" fontId="23" fillId="22" borderId="0" xfId="0" applyNumberFormat="1" applyFont="1" applyFill="1" applyAlignment="1" applyProtection="1">
      <alignment horizontal="center" vertical="center"/>
    </xf>
    <xf numFmtId="0" fontId="23" fillId="28" borderId="0" xfId="38" applyFont="1" applyFill="1" applyProtection="1"/>
    <xf numFmtId="0" fontId="23" fillId="28" borderId="0" xfId="0" applyFont="1" applyFill="1" applyProtection="1"/>
    <xf numFmtId="0" fontId="23" fillId="0" borderId="0" xfId="38" applyNumberFormat="1" applyFont="1" applyFill="1" applyAlignment="1" applyProtection="1">
      <alignment horizontal="left"/>
    </xf>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3" fillId="20" borderId="0" xfId="0" applyFont="1" applyFill="1" applyBorder="1" applyProtection="1"/>
    <xf numFmtId="0" fontId="23" fillId="0" borderId="0" xfId="0" applyFont="1" applyAlignment="1" applyProtection="1"/>
    <xf numFmtId="3" fontId="23" fillId="0" borderId="0" xfId="38" applyNumberFormat="1" applyFont="1" applyBorder="1" applyAlignment="1" applyProtection="1">
      <alignment horizontal="right" vertical="center"/>
    </xf>
    <xf numFmtId="0" fontId="3" fillId="0" borderId="0" xfId="0" applyFont="1" applyAlignment="1" applyProtection="1">
      <alignment horizontal="center"/>
    </xf>
    <xf numFmtId="0" fontId="32" fillId="0" borderId="0" xfId="0" applyFont="1" applyAlignment="1" applyProtection="1">
      <alignment horizontal="center"/>
    </xf>
    <xf numFmtId="0" fontId="3" fillId="0" borderId="0" xfId="0" applyFont="1" applyProtection="1"/>
    <xf numFmtId="0" fontId="34" fillId="0" borderId="0" xfId="51" applyFont="1" applyAlignment="1" applyProtection="1"/>
    <xf numFmtId="0" fontId="37" fillId="0" borderId="0" xfId="0" applyFont="1" applyAlignment="1" applyProtection="1">
      <alignment horizontal="center" vertical="center"/>
    </xf>
    <xf numFmtId="0" fontId="33" fillId="0" borderId="0" xfId="0" applyFont="1" applyProtection="1"/>
    <xf numFmtId="0" fontId="29" fillId="0" borderId="0" xfId="0" applyFont="1" applyAlignment="1" applyProtection="1">
      <alignment horizontal="left"/>
    </xf>
    <xf numFmtId="0" fontId="22" fillId="0" borderId="19" xfId="51" applyFont="1" applyBorder="1" applyAlignment="1" applyProtection="1">
      <alignment horizontal="left" vertical="center"/>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3" fillId="0" borderId="49" xfId="0" applyFont="1" applyFill="1" applyBorder="1" applyAlignment="1" applyProtection="1">
      <alignment horizontal="center"/>
    </xf>
    <xf numFmtId="0" fontId="23" fillId="0" borderId="28" xfId="0" applyFont="1" applyFill="1" applyBorder="1" applyAlignment="1" applyProtection="1">
      <alignment horizontal="right" wrapText="1"/>
    </xf>
    <xf numFmtId="0" fontId="23" fillId="0" borderId="31" xfId="0" applyFont="1" applyFill="1" applyBorder="1" applyAlignment="1" applyProtection="1">
      <alignment horizontal="right" wrapText="1"/>
    </xf>
    <xf numFmtId="0" fontId="23" fillId="0" borderId="10" xfId="0" applyFont="1" applyFill="1" applyBorder="1" applyAlignment="1" applyProtection="1">
      <alignment horizontal="right" wrapText="1"/>
    </xf>
    <xf numFmtId="0" fontId="23" fillId="0" borderId="13" xfId="0" applyFont="1" applyFill="1" applyBorder="1" applyAlignment="1" applyProtection="1">
      <alignment horizontal="right" wrapText="1"/>
    </xf>
    <xf numFmtId="0" fontId="23" fillId="0" borderId="10" xfId="0" quotePrefix="1" applyNumberFormat="1" applyFont="1" applyFill="1" applyBorder="1" applyAlignment="1" applyProtection="1">
      <alignment horizontal="right" wrapText="1"/>
    </xf>
    <xf numFmtId="0" fontId="23" fillId="0" borderId="13" xfId="0" quotePrefix="1" applyNumberFormat="1" applyFont="1" applyFill="1" applyBorder="1" applyAlignment="1" applyProtection="1">
      <alignment horizontal="right" wrapText="1"/>
    </xf>
    <xf numFmtId="0" fontId="23" fillId="0" borderId="10" xfId="0" quotePrefix="1" applyFont="1" applyFill="1" applyBorder="1" applyAlignment="1" applyProtection="1">
      <alignment horizontal="right" wrapText="1"/>
    </xf>
    <xf numFmtId="0" fontId="23" fillId="0" borderId="13" xfId="0" quotePrefix="1" applyFont="1" applyFill="1" applyBorder="1" applyAlignment="1" applyProtection="1">
      <alignment horizontal="right" wrapText="1"/>
    </xf>
    <xf numFmtId="0" fontId="23" fillId="0" borderId="10" xfId="0" applyFont="1" applyBorder="1" applyAlignment="1" applyProtection="1">
      <alignment horizontal="right" wrapText="1"/>
    </xf>
    <xf numFmtId="0" fontId="23" fillId="0" borderId="13" xfId="0" applyFont="1" applyBorder="1" applyAlignment="1" applyProtection="1">
      <alignment horizontal="right" wrapText="1"/>
    </xf>
    <xf numFmtId="0" fontId="29"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0" xfId="38"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0" xfId="38" applyFont="1" applyFill="1" applyBorder="1" applyAlignment="1" applyProtection="1">
      <alignment horizontal="right" vertical="center" wrapText="1"/>
    </xf>
    <xf numFmtId="0" fontId="23" fillId="0" borderId="0" xfId="38" applyFont="1" applyFill="1" applyBorder="1" applyAlignment="1" applyProtection="1">
      <alignment horizontal="righ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2" fillId="0" borderId="19" xfId="38" applyFont="1" applyBorder="1" applyAlignment="1" applyProtection="1">
      <alignment horizontal="right" vertical="center"/>
    </xf>
    <xf numFmtId="0" fontId="22" fillId="0" borderId="29" xfId="38" applyFont="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xf>
    <xf numFmtId="0" fontId="23" fillId="0" borderId="13" xfId="38" applyFont="1" applyFill="1" applyBorder="1" applyAlignment="1" applyProtection="1">
      <alignment horizontal="right" vertical="center" wrapText="1"/>
    </xf>
    <xf numFmtId="0" fontId="23" fillId="0" borderId="14"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38" fillId="0" borderId="0" xfId="38" applyFont="1" applyFill="1" applyAlignment="1" applyProtection="1">
      <alignment horizontal="left" vertical="center" wrapText="1"/>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3" fillId="0" borderId="0" xfId="0" applyFont="1" applyBorder="1" applyAlignment="1" applyProtection="1">
      <alignment horizontal="right" wrapText="1"/>
    </xf>
    <xf numFmtId="0" fontId="23" fillId="0" borderId="96" xfId="0" applyFont="1" applyBorder="1" applyAlignment="1" applyProtection="1">
      <alignment horizontal="center"/>
    </xf>
    <xf numFmtId="0" fontId="23" fillId="0" borderId="19" xfId="0" applyFont="1" applyBorder="1" applyAlignment="1" applyProtection="1">
      <alignment horizontal="center"/>
    </xf>
    <xf numFmtId="0" fontId="23" fillId="0" borderId="34" xfId="0" applyFont="1" applyBorder="1" applyAlignment="1" applyProtection="1">
      <alignment horizontal="center"/>
    </xf>
    <xf numFmtId="0" fontId="23" fillId="0" borderId="26" xfId="0" applyFont="1" applyBorder="1" applyAlignment="1" applyProtection="1">
      <alignment horizontal="center"/>
    </xf>
    <xf numFmtId="0" fontId="23" fillId="0" borderId="9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9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93"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45"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6"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41"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82" xfId="0" applyFont="1" applyBorder="1" applyAlignment="1" applyProtection="1">
      <alignment horizontal="left" wrapText="1"/>
    </xf>
    <xf numFmtId="0" fontId="23" fillId="0" borderId="0" xfId="0" applyFont="1" applyBorder="1" applyAlignment="1" applyProtection="1">
      <alignment horizontal="left" wrapText="1"/>
    </xf>
    <xf numFmtId="171" fontId="23" fillId="0" borderId="28" xfId="45" applyFont="1" applyFill="1" applyBorder="1" applyAlignment="1" applyProtection="1">
      <alignment horizontal="right" wrapText="1"/>
    </xf>
    <xf numFmtId="171" fontId="23" fillId="0" borderId="31" xfId="45" applyFont="1" applyFill="1" applyBorder="1" applyAlignment="1" applyProtection="1">
      <alignment horizontal="right" wrapText="1"/>
    </xf>
    <xf numFmtId="171" fontId="23" fillId="0" borderId="10" xfId="45" applyFont="1" applyFill="1" applyBorder="1" applyAlignment="1" applyProtection="1">
      <alignment horizontal="right" wrapText="1"/>
    </xf>
    <xf numFmtId="171" fontId="23" fillId="0" borderId="13" xfId="45" applyFont="1" applyFill="1" applyBorder="1" applyAlignment="1" applyProtection="1">
      <alignment horizontal="right" wrapText="1"/>
    </xf>
    <xf numFmtId="0" fontId="21" fillId="0" borderId="0" xfId="0" applyFont="1" applyFill="1" applyAlignment="1" applyProtection="1">
      <alignment horizontal="left"/>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cellStyle name="Normal 2 2" xfId="47"/>
    <cellStyle name="Normal 3" xfId="48"/>
    <cellStyle name="Normal 8" xfId="44"/>
    <cellStyle name="Normal_Funding calculation template for ASNs and transfers" xfId="50"/>
    <cellStyle name="Normal_jul0038" xfId="37"/>
    <cellStyle name="Normal_jul0047 2" xfId="45"/>
    <cellStyle name="Normal_martab" xfId="49"/>
    <cellStyle name="Normal_wpdb_"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6">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CAEECA"/>
      <color rgb="FFB7E7B7"/>
      <color rgb="FF8BD98B"/>
      <color rgb="FFD0F4D0"/>
      <color rgb="FFA2E8A2"/>
      <color rgb="FF008000"/>
      <color rgb="FF0000FF"/>
      <color rgb="FF339933"/>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6"/>
  <sheetViews>
    <sheetView showGridLines="0" tabSelected="1" zoomScaleNormal="100" workbookViewId="0">
      <selection sqref="A1:M1"/>
    </sheetView>
  </sheetViews>
  <sheetFormatPr defaultRowHeight="12.75" x14ac:dyDescent="0.2"/>
  <cols>
    <col min="1" max="18" width="9.140625" style="1"/>
    <col min="19" max="20" width="9.140625" style="1" hidden="1" customWidth="1"/>
    <col min="21" max="16384" width="9.140625" style="1"/>
  </cols>
  <sheetData>
    <row r="1" spans="1:20" x14ac:dyDescent="0.2">
      <c r="A1" s="518"/>
      <c r="B1" s="518"/>
      <c r="C1" s="518"/>
      <c r="D1" s="518"/>
      <c r="E1" s="518"/>
      <c r="F1" s="518"/>
      <c r="G1" s="518"/>
      <c r="H1" s="518"/>
      <c r="I1" s="518"/>
      <c r="J1" s="518"/>
      <c r="K1" s="518"/>
      <c r="L1" s="518"/>
      <c r="M1" s="518"/>
    </row>
    <row r="2" spans="1:20" ht="132.75" customHeight="1" x14ac:dyDescent="0.2">
      <c r="A2" s="519"/>
      <c r="B2" s="519"/>
      <c r="C2" s="519"/>
      <c r="D2" s="519"/>
      <c r="E2" s="519"/>
      <c r="F2" s="519"/>
      <c r="G2" s="519"/>
      <c r="H2" s="519"/>
      <c r="I2" s="519"/>
      <c r="J2" s="519"/>
      <c r="K2" s="519"/>
      <c r="L2" s="519"/>
      <c r="M2" s="519"/>
      <c r="N2" s="2"/>
      <c r="O2" s="2"/>
    </row>
    <row r="3" spans="1:20" s="4" customFormat="1" ht="45.75" customHeight="1" x14ac:dyDescent="0.45">
      <c r="A3" s="522" t="s">
        <v>290</v>
      </c>
      <c r="B3" s="522"/>
      <c r="C3" s="522"/>
      <c r="D3" s="522"/>
      <c r="E3" s="522"/>
      <c r="F3" s="522"/>
      <c r="G3" s="522"/>
      <c r="H3" s="522"/>
      <c r="I3" s="522"/>
      <c r="J3" s="522"/>
      <c r="K3" s="522"/>
      <c r="L3" s="522"/>
      <c r="M3" s="522"/>
      <c r="N3" s="3"/>
      <c r="O3" s="3"/>
      <c r="P3" s="3"/>
      <c r="Q3" s="3"/>
    </row>
    <row r="4" spans="1:20" s="4" customFormat="1" ht="45" customHeight="1" x14ac:dyDescent="0.45">
      <c r="A4" s="522" t="str">
        <f>'A Summary'!J6</f>
        <v>Sector summary of all providers</v>
      </c>
      <c r="B4" s="522" t="str">
        <f t="shared" ref="B4:M4" si="0">IF(PROVIDER="","Institution",PROVIDER)</f>
        <v>Institution</v>
      </c>
      <c r="C4" s="522" t="str">
        <f t="shared" si="0"/>
        <v>Institution</v>
      </c>
      <c r="D4" s="522" t="str">
        <f t="shared" si="0"/>
        <v>Institution</v>
      </c>
      <c r="E4" s="522" t="str">
        <f t="shared" si="0"/>
        <v>Institution</v>
      </c>
      <c r="F4" s="522" t="str">
        <f t="shared" si="0"/>
        <v>Institution</v>
      </c>
      <c r="G4" s="522" t="str">
        <f t="shared" si="0"/>
        <v>Institution</v>
      </c>
      <c r="H4" s="522" t="str">
        <f t="shared" si="0"/>
        <v>Institution</v>
      </c>
      <c r="I4" s="522" t="str">
        <f t="shared" si="0"/>
        <v>Institution</v>
      </c>
      <c r="J4" s="522" t="str">
        <f t="shared" si="0"/>
        <v>Institution</v>
      </c>
      <c r="K4" s="522" t="str">
        <f t="shared" si="0"/>
        <v>Institution</v>
      </c>
      <c r="L4" s="522" t="str">
        <f t="shared" si="0"/>
        <v>Institution</v>
      </c>
      <c r="M4" s="522" t="str">
        <f t="shared" si="0"/>
        <v>Institution</v>
      </c>
      <c r="N4" s="3"/>
      <c r="O4" s="3"/>
      <c r="P4" s="3"/>
      <c r="Q4" s="3"/>
    </row>
    <row r="5" spans="1:20" x14ac:dyDescent="0.2">
      <c r="A5" s="518"/>
      <c r="B5" s="518"/>
      <c r="C5" s="518"/>
      <c r="D5" s="518"/>
      <c r="E5" s="518"/>
      <c r="F5" s="518"/>
      <c r="G5" s="518"/>
      <c r="H5" s="518"/>
      <c r="I5" s="518"/>
      <c r="J5" s="518"/>
      <c r="K5" s="518"/>
      <c r="L5" s="518"/>
      <c r="M5" s="518"/>
    </row>
    <row r="6" spans="1:20" ht="15" x14ac:dyDescent="0.25">
      <c r="A6" s="523" t="s">
        <v>38</v>
      </c>
      <c r="B6" s="523"/>
      <c r="C6" s="523"/>
      <c r="D6" s="523"/>
      <c r="E6" s="523"/>
      <c r="F6" s="523"/>
      <c r="G6" s="523"/>
      <c r="H6" s="523"/>
      <c r="I6" s="523"/>
      <c r="J6" s="523"/>
      <c r="K6" s="523"/>
      <c r="L6" s="523"/>
      <c r="M6" s="523"/>
    </row>
    <row r="7" spans="1:20" ht="15" customHeight="1" x14ac:dyDescent="0.2">
      <c r="A7" s="521" t="str">
        <f>"A Summary: "&amp;MID('A Summary'!A3,10,100)</f>
        <v>A Summary: 2018-19 Summary of teaching allocations and funding agreement requirements</v>
      </c>
      <c r="B7" s="521"/>
      <c r="C7" s="521"/>
      <c r="D7" s="521"/>
      <c r="E7" s="521"/>
      <c r="F7" s="521"/>
      <c r="G7" s="521"/>
      <c r="H7" s="521"/>
      <c r="I7" s="521"/>
      <c r="J7" s="521"/>
      <c r="K7" s="521"/>
      <c r="L7" s="521"/>
      <c r="M7" s="521"/>
      <c r="N7" s="5"/>
      <c r="O7" s="5"/>
    </row>
    <row r="8" spans="1:20" ht="15" customHeight="1" x14ac:dyDescent="0.2">
      <c r="A8" s="521" t="str">
        <f>"B High-cost: "&amp;MID('B High-cost'!A3,10,100)</f>
        <v>B High-cost: 2018-19 High-cost subject funding</v>
      </c>
      <c r="B8" s="521"/>
      <c r="C8" s="521"/>
      <c r="D8" s="521"/>
      <c r="E8" s="521"/>
      <c r="F8" s="521"/>
      <c r="G8" s="521"/>
      <c r="H8" s="521"/>
      <c r="I8" s="521"/>
      <c r="J8" s="521"/>
      <c r="K8" s="521"/>
      <c r="L8" s="521"/>
      <c r="M8" s="521"/>
      <c r="N8" s="5"/>
      <c r="O8" s="5"/>
    </row>
    <row r="9" spans="1:20" ht="15" customHeight="1" x14ac:dyDescent="0.2">
      <c r="A9" s="521" t="str">
        <f>"C Student premium: "&amp;MID('C Student premium'!A3,10,100)</f>
        <v>C Student premium: 2018-19 Student premium allocations</v>
      </c>
      <c r="B9" s="521"/>
      <c r="C9" s="521"/>
      <c r="D9" s="521"/>
      <c r="E9" s="521"/>
      <c r="F9" s="521"/>
      <c r="G9" s="521"/>
      <c r="H9" s="521"/>
      <c r="I9" s="521"/>
      <c r="J9" s="521"/>
      <c r="K9" s="521"/>
      <c r="L9" s="521"/>
      <c r="M9" s="521"/>
      <c r="N9" s="5"/>
      <c r="O9" s="5"/>
    </row>
    <row r="10" spans="1:20" ht="15" customHeight="1" x14ac:dyDescent="0.2">
      <c r="A10" s="521" t="str">
        <f>"D Erasmus+: "&amp;MID('D Erasmus+'!A3,10,100)</f>
        <v>D Erasmus+: 2018-19 Erasmus+ and overseas study programmes</v>
      </c>
      <c r="B10" s="521"/>
      <c r="C10" s="521"/>
      <c r="D10" s="521"/>
      <c r="E10" s="521"/>
      <c r="F10" s="521"/>
      <c r="G10" s="521"/>
      <c r="H10" s="521"/>
      <c r="I10" s="521"/>
      <c r="J10" s="521"/>
      <c r="K10" s="521"/>
      <c r="L10" s="521"/>
      <c r="M10" s="521"/>
      <c r="N10" s="5"/>
      <c r="O10" s="5"/>
      <c r="S10" s="6" t="s">
        <v>229</v>
      </c>
      <c r="T10" s="7" t="s">
        <v>37</v>
      </c>
    </row>
    <row r="11" spans="1:20" ht="15" hidden="1" customHeight="1" x14ac:dyDescent="0.2">
      <c r="A11" s="8" t="str">
        <f>"D Erasmus+: "&amp;MID('D Erasmus+'!A3,10,100)&amp;IF(PROVIDER=""," (This table is not included as no FECs have any year abroad students)"," (This table is not included as the provider does not have any year abroad students)")</f>
        <v>D Erasmus+: 2018-19 Erasmus+ and overseas study programmes (This table is not included as no FECs have any year abroad students)</v>
      </c>
      <c r="B11" s="8"/>
      <c r="C11" s="8"/>
      <c r="D11" s="8"/>
      <c r="E11" s="8"/>
      <c r="F11" s="8"/>
      <c r="G11" s="8"/>
      <c r="H11" s="8"/>
      <c r="I11" s="8"/>
      <c r="J11" s="8"/>
      <c r="K11" s="8"/>
      <c r="L11" s="8"/>
      <c r="M11" s="8"/>
      <c r="N11" s="8"/>
      <c r="O11" s="8"/>
      <c r="P11" s="8"/>
      <c r="Q11" s="9"/>
      <c r="S11" s="6" t="s">
        <v>240</v>
      </c>
      <c r="T11" s="7" t="s">
        <v>39</v>
      </c>
    </row>
    <row r="12" spans="1:20" ht="15" customHeight="1" x14ac:dyDescent="0.2">
      <c r="A12" s="521" t="str">
        <f>"E NMAH supplement: "&amp;MID('E NMAH supplement'!A3,10,100)</f>
        <v>E NMAH supplement: 2018-19 Nursing, midwifery and allied health supplement</v>
      </c>
      <c r="B12" s="521"/>
      <c r="C12" s="521"/>
      <c r="D12" s="521"/>
      <c r="E12" s="521"/>
      <c r="F12" s="521"/>
      <c r="G12" s="521"/>
      <c r="H12" s="521"/>
      <c r="I12" s="521"/>
      <c r="J12" s="521"/>
      <c r="K12" s="521"/>
      <c r="L12" s="521"/>
      <c r="M12" s="521"/>
      <c r="N12" s="5"/>
      <c r="O12" s="5"/>
      <c r="S12" s="6" t="s">
        <v>241</v>
      </c>
      <c r="T12" s="10" t="s">
        <v>37</v>
      </c>
    </row>
    <row r="13" spans="1:20" ht="15" hidden="1" customHeight="1" x14ac:dyDescent="0.2">
      <c r="A13" s="8" t="str">
        <f>"E NMAH supplement: "&amp;MID('E NMAH supplement'!A3,10,100)&amp;" (This table is not included as the provider does not have any NMAH students)"</f>
        <v>E NMAH supplement: 2018-19 Nursing, midwifery and allied health supplement (This table is not included as the provider does not have any NMAH students)</v>
      </c>
      <c r="B13" s="8"/>
      <c r="C13" s="8"/>
      <c r="D13" s="8"/>
      <c r="E13" s="8"/>
      <c r="F13" s="8"/>
      <c r="G13" s="8"/>
      <c r="H13" s="8"/>
      <c r="I13" s="8"/>
      <c r="J13" s="8"/>
      <c r="K13" s="8"/>
      <c r="L13" s="8"/>
      <c r="M13" s="8"/>
      <c r="N13" s="8"/>
      <c r="O13" s="8"/>
      <c r="P13" s="8"/>
      <c r="Q13" s="8"/>
      <c r="S13" s="6" t="s">
        <v>242</v>
      </c>
      <c r="T13" s="10" t="s">
        <v>39</v>
      </c>
    </row>
    <row r="14" spans="1:20" ht="15" customHeight="1" x14ac:dyDescent="0.2">
      <c r="A14" s="521" t="str">
        <f>"F Other TAs: "&amp;MID('F Other TAs'!A3,10,100)</f>
        <v>F Other TAs: 2018-19 Other targeted allocations</v>
      </c>
      <c r="B14" s="521"/>
      <c r="C14" s="521"/>
      <c r="D14" s="521"/>
      <c r="E14" s="521"/>
      <c r="F14" s="521"/>
      <c r="G14" s="521"/>
      <c r="H14" s="521"/>
      <c r="I14" s="521"/>
      <c r="J14" s="521"/>
      <c r="K14" s="521"/>
      <c r="L14" s="521"/>
      <c r="M14" s="521"/>
      <c r="N14" s="5"/>
      <c r="O14" s="5"/>
      <c r="T14"/>
    </row>
    <row r="15" spans="1:20" ht="15" customHeight="1" x14ac:dyDescent="0.2">
      <c r="A15" s="521" t="str">
        <f>"G Parameters: "&amp;MID('G Parameters'!A3:E3,10,100)</f>
        <v>G Parameters: 2018-19 Parameters in the funding models</v>
      </c>
      <c r="B15" s="521"/>
      <c r="C15" s="521"/>
      <c r="D15" s="521"/>
      <c r="E15" s="521"/>
      <c r="F15" s="521"/>
      <c r="G15" s="521"/>
      <c r="H15" s="521"/>
      <c r="I15" s="521"/>
      <c r="J15" s="521"/>
      <c r="K15" s="521"/>
      <c r="L15" s="521"/>
      <c r="M15" s="521"/>
      <c r="N15" s="5"/>
      <c r="O15" s="5"/>
      <c r="T15"/>
    </row>
    <row r="16" spans="1:20" x14ac:dyDescent="0.2">
      <c r="A16" s="520"/>
      <c r="B16" s="520"/>
      <c r="C16" s="520"/>
      <c r="D16" s="520"/>
      <c r="E16" s="520"/>
      <c r="F16" s="520"/>
      <c r="G16" s="520"/>
      <c r="H16" s="520"/>
      <c r="I16" s="520"/>
      <c r="J16" s="520"/>
      <c r="K16" s="520"/>
      <c r="L16" s="520"/>
      <c r="M16" s="520"/>
      <c r="T16"/>
    </row>
  </sheetData>
  <mergeCells count="14">
    <mergeCell ref="A1:M1"/>
    <mergeCell ref="A2:M2"/>
    <mergeCell ref="A5:M5"/>
    <mergeCell ref="A16:M16"/>
    <mergeCell ref="A12:M12"/>
    <mergeCell ref="A14:M14"/>
    <mergeCell ref="A15:M15"/>
    <mergeCell ref="A3:M3"/>
    <mergeCell ref="A9:M9"/>
    <mergeCell ref="A10:M10"/>
    <mergeCell ref="A4:M4"/>
    <mergeCell ref="A6:M6"/>
    <mergeCell ref="A7:M7"/>
    <mergeCell ref="A8:M8"/>
  </mergeCells>
  <hyperlinks>
    <hyperlink ref="A7:M7" location="TABLEA" display="TABLEA"/>
    <hyperlink ref="A8:M8" location="TABLEB" display="TABLEB"/>
    <hyperlink ref="A9:M9" location="TABLEC" display="TABLEC"/>
    <hyperlink ref="A10:M10" location="TABLED" display="TABLED"/>
    <hyperlink ref="A12:M12" location="TABLEE" display="TABLEE"/>
    <hyperlink ref="A14:M14" location="TABLEF" display="TABLEF"/>
    <hyperlink ref="A15:M15" location="TABLEG" display="TABLEG"/>
  </hyperlinks>
  <pageMargins left="0.70866141732283472" right="0.70866141732283472" top="0.74803149606299213" bottom="0.74803149606299213" header="0.31496062992125984" footer="0.31496062992125984"/>
  <pageSetup paperSize="9" scale="81" orientation="landscape" r:id="rId1"/>
  <ignoredErrors>
    <ignoredError sqref="A4:M4 A5:M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O36"/>
  <sheetViews>
    <sheetView showGridLines="0" zoomScaleNormal="100" workbookViewId="0">
      <pane ySplit="4" topLeftCell="A5" activePane="bottomLeft" state="frozen"/>
      <selection sqref="A1:M1"/>
      <selection pane="bottomLeft" sqref="A1:D1"/>
    </sheetView>
  </sheetViews>
  <sheetFormatPr defaultColWidth="9.140625" defaultRowHeight="13.5" x14ac:dyDescent="0.2"/>
  <cols>
    <col min="1" max="1" width="4.28515625" style="12" customWidth="1"/>
    <col min="2" max="2" width="55.85546875" style="12" bestFit="1" customWidth="1"/>
    <col min="3" max="3" width="16.5703125" style="16" customWidth="1"/>
    <col min="4" max="4" width="8.42578125" style="16" customWidth="1"/>
    <col min="5" max="5" width="20.140625" style="16" customWidth="1"/>
    <col min="6" max="6" width="13.28515625" style="16" customWidth="1"/>
    <col min="7" max="7" width="10.85546875" style="12" customWidth="1"/>
    <col min="8" max="8" width="17.5703125" style="12" hidden="1" customWidth="1"/>
    <col min="9" max="9" width="9.140625" style="12" hidden="1" customWidth="1"/>
    <col min="10" max="10" width="11.140625" style="12" hidden="1" customWidth="1"/>
    <col min="11" max="11" width="9.140625" style="12" hidden="1" customWidth="1"/>
    <col min="12" max="12" width="15.140625" style="12" hidden="1" customWidth="1"/>
    <col min="13" max="13" width="11.5703125" style="12" hidden="1" customWidth="1"/>
    <col min="14" max="14" width="16.42578125" style="12" hidden="1" customWidth="1"/>
    <col min="15" max="15" width="9.140625" style="12" hidden="1" customWidth="1"/>
    <col min="16" max="16" width="9.140625" style="12" customWidth="1"/>
    <col min="17" max="16384" width="9.140625" style="12"/>
  </cols>
  <sheetData>
    <row r="1" spans="1:15" ht="15.75" customHeight="1" x14ac:dyDescent="0.25">
      <c r="A1" s="524" t="str">
        <f>J8</f>
        <v xml:space="preserve">Sector summary of all providers </v>
      </c>
      <c r="B1" s="524"/>
      <c r="C1" s="524"/>
      <c r="D1" s="524"/>
      <c r="E1" s="11" t="str">
        <f>IF(FECHEALTHFLAG="No","",DATE)</f>
        <v>October 2018</v>
      </c>
      <c r="F1" s="11" t="str">
        <f>IF(FECHEALTHFLAG="No",DATE,"")</f>
        <v/>
      </c>
      <c r="J1" s="13" t="s">
        <v>262</v>
      </c>
      <c r="K1" s="13" t="s">
        <v>119</v>
      </c>
      <c r="L1" s="13" t="s">
        <v>123</v>
      </c>
      <c r="M1" s="13" t="s">
        <v>77</v>
      </c>
      <c r="N1" s="13" t="s">
        <v>228</v>
      </c>
      <c r="O1" s="13" t="s">
        <v>286</v>
      </c>
    </row>
    <row r="2" spans="1:15" ht="15.75" x14ac:dyDescent="0.25">
      <c r="B2" s="14"/>
      <c r="C2" s="14"/>
      <c r="D2" s="14"/>
      <c r="E2" s="15"/>
      <c r="J2" s="17"/>
      <c r="K2" s="17" t="s">
        <v>294</v>
      </c>
      <c r="L2" s="18" t="s">
        <v>39</v>
      </c>
      <c r="M2" s="19" t="s">
        <v>295</v>
      </c>
      <c r="N2" s="20" t="s">
        <v>39</v>
      </c>
      <c r="O2" s="511" t="s">
        <v>37</v>
      </c>
    </row>
    <row r="3" spans="1:15" ht="22.5" customHeight="1" thickBot="1" x14ac:dyDescent="0.25">
      <c r="A3" s="21" t="str">
        <f>K4</f>
        <v>Table A: 2018-19 Summary of teaching allocations and funding agreement requirements</v>
      </c>
      <c r="B3" s="22"/>
      <c r="E3" s="15"/>
      <c r="H3" s="23"/>
      <c r="I3" s="23"/>
      <c r="J3" s="13" t="s">
        <v>232</v>
      </c>
      <c r="K3" s="13" t="s">
        <v>98</v>
      </c>
    </row>
    <row r="4" spans="1:15" ht="58.5" customHeight="1" x14ac:dyDescent="0.2">
      <c r="A4" s="24"/>
      <c r="B4" s="24"/>
      <c r="C4" s="25" t="s">
        <v>289</v>
      </c>
      <c r="D4" s="26"/>
      <c r="E4" s="27" t="s">
        <v>265</v>
      </c>
      <c r="F4" s="26"/>
      <c r="H4" s="28" t="s">
        <v>63</v>
      </c>
      <c r="J4" s="514" t="s">
        <v>291</v>
      </c>
      <c r="K4" s="12" t="str">
        <f>IF(MEDDENTFLAG="No","Table A: 2018-19 Summary of teaching allocations","Table A: 2018-19 Summary of teaching allocations and funding agreement requirements")</f>
        <v>Table A: 2018-19 Summary of teaching allocations and funding agreement requirements</v>
      </c>
    </row>
    <row r="5" spans="1:15" s="23" customFormat="1" ht="30" customHeight="1" x14ac:dyDescent="0.2">
      <c r="A5" s="525" t="s">
        <v>276</v>
      </c>
      <c r="B5" s="525"/>
      <c r="C5" s="29">
        <v>681239250</v>
      </c>
      <c r="D5" s="30"/>
      <c r="E5" s="31">
        <v>33686135</v>
      </c>
      <c r="F5" s="32"/>
      <c r="H5" s="33" t="s">
        <v>59</v>
      </c>
      <c r="J5" s="34" t="s">
        <v>263</v>
      </c>
    </row>
    <row r="6" spans="1:15" s="23" customFormat="1" ht="23.25" customHeight="1" x14ac:dyDescent="0.2">
      <c r="A6" s="35" t="s">
        <v>50</v>
      </c>
      <c r="B6" s="35"/>
      <c r="C6" s="36"/>
      <c r="D6" s="32"/>
      <c r="E6" s="32"/>
      <c r="F6" s="32"/>
      <c r="H6" s="37"/>
      <c r="J6" s="23" t="str">
        <f>IF(PROVIDER&lt;&gt;"",PROVIDER,IF(UKPRN="ALL","Sector summary of all providers",IF(UKPRN="FEC","Sector summary of all FECs",IF(UKPRN="HEI","Sector summary of all HEIs","Provider"))))</f>
        <v>Sector summary of all providers</v>
      </c>
    </row>
    <row r="7" spans="1:15" s="23" customFormat="1" ht="19.5" customHeight="1" x14ac:dyDescent="0.2">
      <c r="A7" s="34"/>
      <c r="B7" s="38" t="s">
        <v>283</v>
      </c>
      <c r="C7" s="36">
        <v>164981190</v>
      </c>
      <c r="D7" s="32"/>
      <c r="E7" s="32">
        <v>9914237</v>
      </c>
      <c r="F7" s="32"/>
      <c r="H7" s="33" t="s">
        <v>95</v>
      </c>
      <c r="J7" s="23" t="str">
        <f>IF(PROVIDER&lt;&gt;"","(UKPRN: "&amp;UKPRN&amp;")","")</f>
        <v/>
      </c>
    </row>
    <row r="8" spans="1:15" s="23" customFormat="1" ht="15" customHeight="1" x14ac:dyDescent="0.2">
      <c r="A8" s="34"/>
      <c r="B8" s="38" t="s">
        <v>280</v>
      </c>
      <c r="C8" s="39">
        <v>71510308</v>
      </c>
      <c r="D8" s="30"/>
      <c r="E8" s="30">
        <v>442971</v>
      </c>
      <c r="F8" s="32"/>
      <c r="H8" s="33" t="s">
        <v>96</v>
      </c>
      <c r="J8" s="23" t="str">
        <f>J6&amp;" "&amp;J7</f>
        <v xml:space="preserve">Sector summary of all providers </v>
      </c>
    </row>
    <row r="9" spans="1:15" s="23" customFormat="1" ht="15" customHeight="1" x14ac:dyDescent="0.2">
      <c r="A9" s="34"/>
      <c r="B9" s="38" t="s">
        <v>56</v>
      </c>
      <c r="C9" s="39">
        <v>39995582</v>
      </c>
      <c r="D9" s="30"/>
      <c r="E9" s="30">
        <v>1657158</v>
      </c>
      <c r="F9" s="32"/>
      <c r="H9" s="33" t="s">
        <v>97</v>
      </c>
    </row>
    <row r="10" spans="1:15" s="23" customFormat="1" ht="15" customHeight="1" x14ac:dyDescent="0.2">
      <c r="A10" s="34"/>
      <c r="B10" s="38" t="s">
        <v>43</v>
      </c>
      <c r="C10" s="39">
        <v>30057960</v>
      </c>
      <c r="D10" s="30"/>
      <c r="E10" s="40">
        <v>0</v>
      </c>
      <c r="F10" s="41"/>
      <c r="G10" s="41"/>
      <c r="H10" s="33" t="s">
        <v>70</v>
      </c>
    </row>
    <row r="11" spans="1:15" s="23" customFormat="1" ht="15" customHeight="1" x14ac:dyDescent="0.2">
      <c r="A11" s="34"/>
      <c r="B11" s="38" t="s">
        <v>227</v>
      </c>
      <c r="C11" s="39">
        <v>14154731</v>
      </c>
      <c r="D11" s="30"/>
      <c r="E11" s="30">
        <v>14154731</v>
      </c>
      <c r="F11" s="41"/>
      <c r="G11" s="41"/>
      <c r="H11" s="33" t="s">
        <v>99</v>
      </c>
    </row>
    <row r="12" spans="1:15" s="23" customFormat="1" ht="15" customHeight="1" x14ac:dyDescent="0.2">
      <c r="A12" s="34"/>
      <c r="B12" s="38" t="s">
        <v>54</v>
      </c>
      <c r="C12" s="39">
        <v>33064669</v>
      </c>
      <c r="D12" s="30"/>
      <c r="E12" s="40">
        <v>0</v>
      </c>
      <c r="F12" s="32"/>
      <c r="H12" s="33" t="s">
        <v>67</v>
      </c>
    </row>
    <row r="13" spans="1:15" s="23" customFormat="1" ht="15" customHeight="1" x14ac:dyDescent="0.2">
      <c r="A13" s="34"/>
      <c r="B13" s="38" t="s">
        <v>31</v>
      </c>
      <c r="C13" s="39">
        <v>35051302</v>
      </c>
      <c r="D13" s="30"/>
      <c r="E13" s="30">
        <v>0</v>
      </c>
      <c r="F13" s="32"/>
      <c r="H13" s="33" t="s">
        <v>68</v>
      </c>
    </row>
    <row r="14" spans="1:15" s="23" customFormat="1" ht="15" customHeight="1" x14ac:dyDescent="0.2">
      <c r="A14" s="34"/>
      <c r="B14" s="38" t="s">
        <v>277</v>
      </c>
      <c r="C14" s="39">
        <v>1524284</v>
      </c>
      <c r="D14" s="30"/>
      <c r="E14" s="30">
        <v>0</v>
      </c>
      <c r="F14" s="32"/>
      <c r="H14" s="33" t="s">
        <v>69</v>
      </c>
    </row>
    <row r="15" spans="1:15" s="23" customFormat="1" ht="15" customHeight="1" x14ac:dyDescent="0.2">
      <c r="A15" s="34"/>
      <c r="B15" s="38" t="s">
        <v>42</v>
      </c>
      <c r="C15" s="39">
        <v>66899630</v>
      </c>
      <c r="D15" s="30"/>
      <c r="E15" s="30">
        <v>2512598</v>
      </c>
      <c r="F15" s="32"/>
      <c r="H15" s="33" t="s">
        <v>71</v>
      </c>
      <c r="J15" s="23" t="s">
        <v>229</v>
      </c>
    </row>
    <row r="16" spans="1:15" s="23" customFormat="1" ht="15" customHeight="1" x14ac:dyDescent="0.2">
      <c r="A16" s="34"/>
      <c r="B16" s="23" t="s">
        <v>287</v>
      </c>
      <c r="C16" s="39">
        <v>24537649</v>
      </c>
      <c r="D16" s="30"/>
      <c r="E16" s="40">
        <v>0</v>
      </c>
      <c r="F16" s="32"/>
      <c r="H16" s="33" t="s">
        <v>72</v>
      </c>
      <c r="J16" s="19" t="s">
        <v>37</v>
      </c>
    </row>
    <row r="17" spans="1:12" s="23" customFormat="1" ht="15" customHeight="1" x14ac:dyDescent="0.2">
      <c r="A17" s="34"/>
      <c r="B17" s="23" t="s">
        <v>51</v>
      </c>
      <c r="C17" s="39">
        <v>43869067</v>
      </c>
      <c r="D17" s="30"/>
      <c r="E17" s="40">
        <v>0</v>
      </c>
      <c r="F17" s="32"/>
      <c r="H17" s="33" t="s">
        <v>73</v>
      </c>
      <c r="J17" s="19" t="s">
        <v>37</v>
      </c>
    </row>
    <row r="18" spans="1:12" s="23" customFormat="1" ht="15" customHeight="1" x14ac:dyDescent="0.2">
      <c r="A18" s="34"/>
      <c r="B18" s="23" t="s">
        <v>16</v>
      </c>
      <c r="C18" s="39">
        <v>16994596</v>
      </c>
      <c r="D18" s="30"/>
      <c r="E18" s="40">
        <v>0</v>
      </c>
      <c r="F18" s="32"/>
      <c r="H18" s="33" t="s">
        <v>74</v>
      </c>
      <c r="J18" s="19" t="s">
        <v>37</v>
      </c>
    </row>
    <row r="19" spans="1:12" s="23" customFormat="1" ht="15" customHeight="1" x14ac:dyDescent="0.2">
      <c r="A19" s="34"/>
      <c r="B19" s="23" t="s">
        <v>24</v>
      </c>
      <c r="C19" s="39">
        <v>906719</v>
      </c>
      <c r="D19" s="30"/>
      <c r="E19" s="40">
        <v>0</v>
      </c>
      <c r="F19" s="32"/>
      <c r="H19" s="33" t="s">
        <v>75</v>
      </c>
      <c r="J19" s="19" t="s">
        <v>37</v>
      </c>
    </row>
    <row r="20" spans="1:12" s="23" customFormat="1" ht="15" customHeight="1" x14ac:dyDescent="0.2">
      <c r="A20" s="34"/>
      <c r="B20" s="23" t="s">
        <v>17</v>
      </c>
      <c r="C20" s="39">
        <v>5140452</v>
      </c>
      <c r="D20" s="30"/>
      <c r="E20" s="40">
        <v>0</v>
      </c>
      <c r="F20" s="32"/>
      <c r="H20" s="33" t="s">
        <v>76</v>
      </c>
      <c r="J20" s="19" t="s">
        <v>37</v>
      </c>
    </row>
    <row r="21" spans="1:12" s="23" customFormat="1" ht="30.75" customHeight="1" x14ac:dyDescent="0.2">
      <c r="A21" s="42"/>
      <c r="B21" s="43" t="s">
        <v>120</v>
      </c>
      <c r="C21" s="44">
        <v>548688139</v>
      </c>
      <c r="D21" s="30"/>
      <c r="E21" s="45">
        <v>28681695</v>
      </c>
      <c r="F21" s="32"/>
      <c r="H21" s="33" t="s">
        <v>60</v>
      </c>
      <c r="J21"/>
    </row>
    <row r="22" spans="1:12" s="23" customFormat="1" ht="30.75" customHeight="1" thickBot="1" x14ac:dyDescent="0.25">
      <c r="A22" s="46" t="s">
        <v>25</v>
      </c>
      <c r="B22" s="47"/>
      <c r="C22" s="48">
        <v>1229927389</v>
      </c>
      <c r="D22" s="32"/>
      <c r="E22" s="49">
        <v>62367830</v>
      </c>
      <c r="F22" s="32"/>
      <c r="H22" s="33" t="s">
        <v>61</v>
      </c>
      <c r="J22"/>
    </row>
    <row r="23" spans="1:12" s="23" customFormat="1" x14ac:dyDescent="0.2">
      <c r="C23" s="50"/>
      <c r="D23" s="51"/>
      <c r="E23" s="52"/>
      <c r="F23" s="51"/>
      <c r="H23" s="53"/>
      <c r="J23"/>
    </row>
    <row r="24" spans="1:12" s="23" customFormat="1" x14ac:dyDescent="0.2">
      <c r="C24" s="50"/>
      <c r="D24" s="51"/>
      <c r="E24" s="52"/>
      <c r="F24" s="51"/>
      <c r="H24" s="53"/>
      <c r="J24" s="23" t="s">
        <v>230</v>
      </c>
    </row>
    <row r="25" spans="1:12" s="23" customFormat="1" ht="22.5" customHeight="1" thickBot="1" x14ac:dyDescent="0.25">
      <c r="A25" s="54" t="s">
        <v>44</v>
      </c>
      <c r="B25" s="55"/>
      <c r="C25" s="56"/>
      <c r="E25" s="57"/>
      <c r="F25" s="32"/>
      <c r="J25" s="18" t="s">
        <v>37</v>
      </c>
    </row>
    <row r="26" spans="1:12" s="23" customFormat="1" ht="19.5" customHeight="1" x14ac:dyDescent="0.2">
      <c r="A26" s="58" t="s">
        <v>223</v>
      </c>
      <c r="B26" s="59"/>
      <c r="C26" s="60">
        <v>6071</v>
      </c>
      <c r="D26" s="36"/>
      <c r="E26" s="61">
        <v>0</v>
      </c>
      <c r="F26" s="32"/>
      <c r="H26" s="33" t="s">
        <v>186</v>
      </c>
      <c r="J26" s="18" t="s">
        <v>37</v>
      </c>
      <c r="L26" s="53"/>
    </row>
    <row r="27" spans="1:12" s="23" customFormat="1" ht="15" customHeight="1" x14ac:dyDescent="0.2">
      <c r="A27" s="62" t="s">
        <v>184</v>
      </c>
      <c r="B27" s="63"/>
      <c r="C27" s="50">
        <v>630</v>
      </c>
      <c r="D27" s="36"/>
      <c r="E27" s="64">
        <v>0</v>
      </c>
      <c r="F27" s="32"/>
      <c r="H27" s="33" t="s">
        <v>187</v>
      </c>
      <c r="J27" s="18" t="s">
        <v>37</v>
      </c>
      <c r="L27" s="53"/>
    </row>
    <row r="28" spans="1:12" s="23" customFormat="1" ht="19.5" customHeight="1" x14ac:dyDescent="0.2">
      <c r="A28" s="65" t="s">
        <v>154</v>
      </c>
      <c r="B28" s="63"/>
      <c r="C28" s="66">
        <v>6701</v>
      </c>
      <c r="D28" s="36"/>
      <c r="E28" s="64">
        <v>0</v>
      </c>
      <c r="F28" s="32"/>
      <c r="H28" s="33" t="s">
        <v>65</v>
      </c>
      <c r="J28" s="18" t="s">
        <v>37</v>
      </c>
      <c r="L28" s="53"/>
    </row>
    <row r="29" spans="1:12" s="23" customFormat="1" ht="21.75" customHeight="1" x14ac:dyDescent="0.2">
      <c r="A29" s="67"/>
      <c r="B29" s="68" t="s">
        <v>224</v>
      </c>
      <c r="C29" s="69">
        <v>456</v>
      </c>
      <c r="D29" s="36"/>
      <c r="E29" s="64">
        <v>0</v>
      </c>
      <c r="F29" s="32"/>
      <c r="H29" s="33" t="s">
        <v>185</v>
      </c>
      <c r="J29" s="18" t="s">
        <v>37</v>
      </c>
      <c r="L29" s="53"/>
    </row>
    <row r="30" spans="1:12" s="23" customFormat="1" ht="18.75" customHeight="1" x14ac:dyDescent="0.2">
      <c r="A30" s="70" t="s">
        <v>155</v>
      </c>
      <c r="B30" s="65"/>
      <c r="C30" s="71">
        <v>809</v>
      </c>
      <c r="D30" s="36"/>
      <c r="E30" s="64">
        <v>0</v>
      </c>
      <c r="F30" s="32"/>
      <c r="H30" s="33" t="s">
        <v>66</v>
      </c>
      <c r="J30" s="18" t="s">
        <v>37</v>
      </c>
      <c r="L30" s="53"/>
    </row>
    <row r="31" spans="1:12" s="23" customFormat="1" ht="21" customHeight="1" thickBot="1" x14ac:dyDescent="0.25">
      <c r="A31" s="72"/>
      <c r="B31" s="73" t="s">
        <v>224</v>
      </c>
      <c r="C31" s="74">
        <v>43</v>
      </c>
      <c r="D31" s="36"/>
      <c r="E31" s="64">
        <v>0</v>
      </c>
      <c r="F31" s="32"/>
      <c r="H31" s="33" t="s">
        <v>188</v>
      </c>
      <c r="J31" s="18" t="s">
        <v>37</v>
      </c>
      <c r="L31" s="53"/>
    </row>
    <row r="32" spans="1:12" ht="15.75" customHeight="1" x14ac:dyDescent="0.2">
      <c r="C32" s="50"/>
      <c r="D32" s="50"/>
      <c r="E32" s="50"/>
    </row>
    <row r="33" spans="3:6" hidden="1" x14ac:dyDescent="0.2">
      <c r="C33" s="75" t="s">
        <v>62</v>
      </c>
      <c r="D33" s="76"/>
      <c r="E33" s="75" t="s">
        <v>94</v>
      </c>
      <c r="F33" s="77"/>
    </row>
    <row r="34" spans="3:6" hidden="1" x14ac:dyDescent="0.2">
      <c r="F34" s="32"/>
    </row>
    <row r="35" spans="3:6" ht="15" hidden="1" customHeight="1" x14ac:dyDescent="0.2">
      <c r="E35" s="78" t="s">
        <v>37</v>
      </c>
    </row>
    <row r="36" spans="3:6" hidden="1" x14ac:dyDescent="0.2">
      <c r="E36" s="16" t="s">
        <v>231</v>
      </c>
    </row>
  </sheetData>
  <mergeCells count="2">
    <mergeCell ref="A1:D1"/>
    <mergeCell ref="A5:B5"/>
  </mergeCells>
  <conditionalFormatting sqref="C5 E5 C7:C22 E7:E9 E11 E13:E15 E21:E22 C26:C31">
    <cfRule type="cellIs" dxfId="5" priority="1" operator="equal">
      <formula>0</formula>
    </cfRule>
  </conditionalFormatting>
  <hyperlinks>
    <hyperlink ref="A5:B5" location="HIGHCOST" display="High-cost subject funding"/>
    <hyperlink ref="B7" location="SP_FT" display="Premium to support successful student outcomes: full-time"/>
    <hyperlink ref="B8" location="SP_PT" display="Premium to support successful student outcomes: part-time"/>
    <hyperlink ref="B9" location="DISABLED" display="Disabled students' premium"/>
    <hyperlink ref="B10" location="ERAS_TA" display="Erasmus+ and overseas study programmes"/>
    <hyperlink ref="B11" location="HEALTH_TA" display="Nursing and allied health supplement"/>
    <hyperlink ref="B12" location="PGTS_TA" display="Postgraduate taught supplement"/>
    <hyperlink ref="B13" location="INT_TA" display="Intensive postgraduate provision"/>
    <hyperlink ref="B14" location="ACCL_TA" display="Accelerated full-time undergraduate provision"/>
    <hyperlink ref="B15" location="LOND_TA" display="Students attending courses in London"/>
  </hyperlinks>
  <pageMargins left="0.70866141732283472" right="0.70866141732283472" top="0.74803149606299213" bottom="0.74803149606299213" header="0.31496062992125984" footer="0.31496062992125984"/>
  <pageSetup paperSize="9" scale="83" orientation="landscape" r:id="rId1"/>
  <ignoredErrors>
    <ignoredError sqref="A1 E1:F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W65"/>
  <sheetViews>
    <sheetView showGridLines="0" zoomScaleNormal="100" workbookViewId="0">
      <pane xSplit="3" ySplit="5" topLeftCell="D6" activePane="bottomRight" state="frozen"/>
      <selection sqref="A1:M1"/>
      <selection pane="topRight" sqref="A1:M1"/>
      <selection pane="bottomLeft" sqref="A1:M1"/>
      <selection pane="bottomRight" sqref="A1:J1"/>
    </sheetView>
  </sheetViews>
  <sheetFormatPr defaultColWidth="9.140625" defaultRowHeight="13.5" x14ac:dyDescent="0.2"/>
  <cols>
    <col min="1" max="1" width="7.7109375" style="12" customWidth="1"/>
    <col min="2" max="2" width="10.140625" style="12" customWidth="1"/>
    <col min="3" max="3" width="19.7109375" style="12" customWidth="1"/>
    <col min="4" max="4" width="13.42578125" style="12" customWidth="1"/>
    <col min="5" max="5" width="19.42578125" style="12" customWidth="1"/>
    <col min="6" max="6" width="19" style="12" customWidth="1"/>
    <col min="7" max="7" width="18.5703125" style="12" customWidth="1"/>
    <col min="8" max="8" width="15.85546875" style="12" customWidth="1"/>
    <col min="9" max="9" width="12.28515625" style="12" customWidth="1"/>
    <col min="10" max="10" width="11.42578125" style="12" customWidth="1"/>
    <col min="11" max="11" width="12.85546875" style="12" customWidth="1"/>
    <col min="12" max="12" width="9.28515625" style="12" customWidth="1"/>
    <col min="13" max="13" width="23" style="12" customWidth="1"/>
    <col min="14" max="14" width="15" style="12" customWidth="1"/>
    <col min="15" max="15" width="13" style="12" customWidth="1"/>
    <col min="16" max="16" width="9.140625" style="12"/>
    <col min="17" max="17" width="11.140625" style="12" hidden="1" customWidth="1"/>
    <col min="18" max="18" width="8.28515625" style="12" hidden="1" customWidth="1"/>
    <col min="19" max="19" width="10.42578125" style="12" hidden="1" customWidth="1"/>
    <col min="20" max="20" width="9.140625" style="12" customWidth="1"/>
    <col min="21" max="23" width="9.140625" style="12" hidden="1" customWidth="1"/>
    <col min="24" max="16384" width="9.140625" style="12"/>
  </cols>
  <sheetData>
    <row r="1" spans="1:23" ht="15.75" customHeight="1" x14ac:dyDescent="0.25">
      <c r="A1" s="524" t="str">
        <f>'A Summary'!J8</f>
        <v xml:space="preserve">Sector summary of all providers </v>
      </c>
      <c r="B1" s="524"/>
      <c r="C1" s="524"/>
      <c r="D1" s="524"/>
      <c r="E1" s="524"/>
      <c r="F1" s="524"/>
      <c r="G1" s="524"/>
      <c r="H1" s="524"/>
      <c r="I1" s="524"/>
      <c r="J1" s="524"/>
      <c r="K1" s="79" t="str">
        <f>IF(FECHEALTHFLAG="No",DATE,"")</f>
        <v/>
      </c>
      <c r="M1" s="23"/>
      <c r="N1" s="23"/>
      <c r="O1" s="79" t="str">
        <f>IF(FECHEALTHFLAG="No","",DATE)</f>
        <v>October 2018</v>
      </c>
    </row>
    <row r="2" spans="1:23" ht="15" customHeight="1" x14ac:dyDescent="0.2">
      <c r="B2" s="13"/>
      <c r="C2" s="13"/>
      <c r="E2" s="23"/>
      <c r="F2" s="23"/>
      <c r="G2" s="23"/>
      <c r="H2" s="23"/>
      <c r="K2" s="79"/>
    </row>
    <row r="3" spans="1:23" ht="22.5" customHeight="1" thickBot="1" x14ac:dyDescent="0.25">
      <c r="A3" s="80" t="s">
        <v>267</v>
      </c>
      <c r="E3" s="23"/>
      <c r="F3" s="23"/>
      <c r="G3" s="23"/>
      <c r="H3" s="23"/>
    </row>
    <row r="4" spans="1:23" ht="15" customHeight="1" x14ac:dyDescent="0.2">
      <c r="A4" s="81"/>
      <c r="B4" s="82"/>
      <c r="C4" s="82"/>
      <c r="D4" s="529" t="str">
        <f>W7</f>
        <v>2017-18 FTEs from Tables 1, 2 and 3 of HESES17 and HEIFES17</v>
      </c>
      <c r="E4" s="531" t="str">
        <f>W8</f>
        <v>Non-fundable UG 'Starters in 2016-17' FTEs from Tables 7a, 7b and 7c of HESES17 and HEIFES17</v>
      </c>
      <c r="F4" s="533" t="str">
        <f>W9</f>
        <v>Non-fundable PGT 'Starters in 2017-18' FTEs from Tables 7a and 7c of HESES17 and HEIFES17</v>
      </c>
      <c r="G4" s="535" t="str">
        <f>W10</f>
        <v>Non-fundable DHDT¹ 'Starters in 2017-18' FTEs from Tables 7a and 7c of HESES17 and HEIFES17</v>
      </c>
      <c r="H4" s="537" t="s">
        <v>284</v>
      </c>
      <c r="I4" s="537" t="s">
        <v>45</v>
      </c>
      <c r="J4" s="531" t="s">
        <v>281</v>
      </c>
      <c r="K4" s="531" t="s">
        <v>268</v>
      </c>
      <c r="L4" s="23"/>
      <c r="M4" s="528" t="str">
        <f>W13</f>
        <v>Of which related to NMAH² funding transfer</v>
      </c>
      <c r="N4" s="528"/>
      <c r="O4" s="528"/>
    </row>
    <row r="5" spans="1:23" s="85" customFormat="1" ht="69.75" customHeight="1" x14ac:dyDescent="0.2">
      <c r="A5" s="83" t="s">
        <v>13</v>
      </c>
      <c r="B5" s="83" t="s">
        <v>0</v>
      </c>
      <c r="C5" s="84" t="s">
        <v>5</v>
      </c>
      <c r="D5" s="530"/>
      <c r="E5" s="532"/>
      <c r="F5" s="534"/>
      <c r="G5" s="536"/>
      <c r="H5" s="538"/>
      <c r="I5" s="538"/>
      <c r="J5" s="532"/>
      <c r="K5" s="532"/>
      <c r="M5" s="86" t="str">
        <f>W11</f>
        <v>Fundable UG 'Starters in 
2017-18' FTEs from Tables 7a and 7c of HESES17 and HEIFES17</v>
      </c>
      <c r="N5" s="86" t="str">
        <f>W14</f>
        <v>Total NMAH² FTEs for 
2018-19 
other targeted allocations</v>
      </c>
      <c r="O5" s="86" t="s">
        <v>268</v>
      </c>
      <c r="Q5" s="28" t="s">
        <v>32</v>
      </c>
      <c r="R5" s="28" t="s">
        <v>33</v>
      </c>
      <c r="S5" s="28" t="s">
        <v>34</v>
      </c>
      <c r="U5" s="85" t="s">
        <v>229</v>
      </c>
    </row>
    <row r="6" spans="1:23" x14ac:dyDescent="0.2">
      <c r="A6" s="87" t="s">
        <v>7</v>
      </c>
      <c r="B6" s="87" t="s">
        <v>269</v>
      </c>
      <c r="C6" s="56" t="s">
        <v>6</v>
      </c>
      <c r="D6" s="88">
        <v>22923.17</v>
      </c>
      <c r="E6" s="89">
        <v>0</v>
      </c>
      <c r="F6" s="89">
        <v>0</v>
      </c>
      <c r="G6" s="90">
        <v>116</v>
      </c>
      <c r="H6" s="91">
        <v>-67.674999999999997</v>
      </c>
      <c r="I6" s="91">
        <v>410</v>
      </c>
      <c r="J6" s="91">
        <v>23381.494999999999</v>
      </c>
      <c r="K6" s="92">
        <v>236153104</v>
      </c>
      <c r="M6" s="89">
        <v>0</v>
      </c>
      <c r="N6" s="91">
        <v>116</v>
      </c>
      <c r="O6" s="92">
        <v>1171600</v>
      </c>
      <c r="Q6" s="93" t="s">
        <v>7</v>
      </c>
      <c r="R6" s="93" t="s">
        <v>2</v>
      </c>
      <c r="S6" s="93" t="s">
        <v>6</v>
      </c>
      <c r="T6" s="94"/>
      <c r="U6" s="95" t="s">
        <v>37</v>
      </c>
      <c r="W6" s="13" t="s">
        <v>78</v>
      </c>
    </row>
    <row r="7" spans="1:23" x14ac:dyDescent="0.2">
      <c r="A7" s="62"/>
      <c r="B7" s="62"/>
      <c r="C7" s="56" t="str">
        <f>$W$18</f>
        <v>PGT (Masters loan)</v>
      </c>
      <c r="D7" s="96">
        <v>1058.33</v>
      </c>
      <c r="E7" s="97">
        <v>0</v>
      </c>
      <c r="F7" s="97">
        <v>0</v>
      </c>
      <c r="G7" s="97">
        <v>0</v>
      </c>
      <c r="H7" s="97">
        <v>0</v>
      </c>
      <c r="I7" s="98">
        <v>0</v>
      </c>
      <c r="J7" s="98">
        <v>1058.33</v>
      </c>
      <c r="K7" s="99">
        <v>10689133</v>
      </c>
      <c r="M7" s="97">
        <v>0</v>
      </c>
      <c r="N7" s="97">
        <v>0</v>
      </c>
      <c r="O7" s="100">
        <v>0</v>
      </c>
      <c r="Q7" s="93" t="s">
        <v>7</v>
      </c>
      <c r="R7" s="93" t="s">
        <v>2</v>
      </c>
      <c r="S7" s="93" t="s">
        <v>52</v>
      </c>
      <c r="T7" s="94"/>
      <c r="U7" s="95" t="s">
        <v>37</v>
      </c>
      <c r="W7" s="12" t="str">
        <f>IF(HEIFLAG="No","2017-18 FTEs from Tables 1, 2 and 3 of HEIFES17",IF(HEIFLAG="Both","2017-18 FTEs from Tables 1, 2 and 3 of HESES17 and HEIFES17","2017-18 FTEs from Tables 1, 2 and 3 of HESES17"))</f>
        <v>2017-18 FTEs from Tables 1, 2 and 3 of HESES17 and HEIFES17</v>
      </c>
    </row>
    <row r="8" spans="1:23" x14ac:dyDescent="0.2">
      <c r="A8" s="62"/>
      <c r="B8" s="101"/>
      <c r="C8" s="102" t="str">
        <f>$W$19</f>
        <v>PGT (Other)</v>
      </c>
      <c r="D8" s="103">
        <v>273.94</v>
      </c>
      <c r="E8" s="104">
        <v>0</v>
      </c>
      <c r="F8" s="104">
        <v>0</v>
      </c>
      <c r="G8" s="104">
        <v>0</v>
      </c>
      <c r="H8" s="105">
        <v>0</v>
      </c>
      <c r="I8" s="106">
        <v>0</v>
      </c>
      <c r="J8" s="106">
        <v>273.94</v>
      </c>
      <c r="K8" s="107">
        <v>2766794</v>
      </c>
      <c r="M8" s="104">
        <v>0</v>
      </c>
      <c r="N8" s="104">
        <v>0</v>
      </c>
      <c r="O8" s="108">
        <v>0</v>
      </c>
      <c r="Q8" s="93" t="s">
        <v>7</v>
      </c>
      <c r="R8" s="93" t="s">
        <v>2</v>
      </c>
      <c r="S8" s="93" t="s">
        <v>53</v>
      </c>
      <c r="T8" s="94"/>
      <c r="U8" s="95" t="s">
        <v>37</v>
      </c>
      <c r="W8" s="12" t="str">
        <f>IF(HEIFLAG="No","Non-fundable UG 'Starters in 2016-17' FTEs from Tables 7a, 7b and 7c of HEIFES17",IF(HEIFLAG="Both","Non-fundable UG 'Starters in 2016-17' FTEs from Tables 7a, 7b and 7c of HESES17 and HEIFES17","Non-fundable UG 'Starters in 2016-17' FTEs from Tables 7a, 7b and 7c of HESES17"))</f>
        <v>Non-fundable UG 'Starters in 2016-17' FTEs from Tables 7a, 7b and 7c of HESES17 and HEIFES17</v>
      </c>
    </row>
    <row r="9" spans="1:23" x14ac:dyDescent="0.2">
      <c r="A9" s="62"/>
      <c r="B9" s="109" t="s">
        <v>274</v>
      </c>
      <c r="C9" s="110" t="s">
        <v>6</v>
      </c>
      <c r="D9" s="111">
        <v>33.79</v>
      </c>
      <c r="E9" s="112">
        <v>0</v>
      </c>
      <c r="F9" s="112">
        <v>0</v>
      </c>
      <c r="G9" s="113">
        <v>2.3199999999999998</v>
      </c>
      <c r="H9" s="114">
        <v>0</v>
      </c>
      <c r="I9" s="115">
        <v>-3.38</v>
      </c>
      <c r="J9" s="115">
        <v>32.729999999999997</v>
      </c>
      <c r="K9" s="116">
        <v>330573</v>
      </c>
      <c r="M9" s="112">
        <v>0</v>
      </c>
      <c r="N9" s="115">
        <v>2.3199999999999998</v>
      </c>
      <c r="O9" s="116">
        <v>23432</v>
      </c>
      <c r="Q9" s="93" t="s">
        <v>7</v>
      </c>
      <c r="R9" s="93" t="s">
        <v>1</v>
      </c>
      <c r="S9" s="93" t="s">
        <v>6</v>
      </c>
      <c r="T9" s="94"/>
      <c r="U9" s="95" t="s">
        <v>37</v>
      </c>
      <c r="W9" s="12" t="str">
        <f>IF(HEIFLAG="No","Non-fundable PG 'Starters in 2017-18' FTEs from Tables 7a and 7c of HEIFES17",IF(HEIFLAG="Both","Non-fundable PGT 'Starters in 2017-18' FTEs from Tables 7a and 7c of HESES17 and HEIFES17","Non-fundable PGT 'Starters in 2017-18' FTEs from Tables 7a and 7c of HESES17"))</f>
        <v>Non-fundable PGT 'Starters in 2017-18' FTEs from Tables 7a and 7c of HESES17 and HEIFES17</v>
      </c>
    </row>
    <row r="10" spans="1:23" x14ac:dyDescent="0.2">
      <c r="A10" s="62"/>
      <c r="B10" s="62"/>
      <c r="C10" s="56" t="str">
        <f>$W$18</f>
        <v>PGT (Masters loan)</v>
      </c>
      <c r="D10" s="96">
        <v>379.65</v>
      </c>
      <c r="E10" s="97">
        <v>0</v>
      </c>
      <c r="F10" s="97">
        <v>0</v>
      </c>
      <c r="G10" s="97">
        <v>0</v>
      </c>
      <c r="H10" s="117">
        <v>0</v>
      </c>
      <c r="I10" s="98">
        <v>0</v>
      </c>
      <c r="J10" s="98">
        <v>379.65</v>
      </c>
      <c r="K10" s="99">
        <v>3834465</v>
      </c>
      <c r="M10" s="97">
        <v>0</v>
      </c>
      <c r="N10" s="97">
        <v>0</v>
      </c>
      <c r="O10" s="100">
        <v>0</v>
      </c>
      <c r="Q10" s="93" t="s">
        <v>7</v>
      </c>
      <c r="R10" s="93" t="s">
        <v>1</v>
      </c>
      <c r="S10" s="93" t="s">
        <v>52</v>
      </c>
      <c r="T10" s="94"/>
      <c r="U10" s="95" t="s">
        <v>37</v>
      </c>
      <c r="W10" s="12" t="str">
        <f>IF(HEIFLAG="No","Non-fundable DHDT¹ 'Starters in 2017-18' FTEs from Tables 7a and 7c of HEIFES17",IF(HEIFLAG="Both","Non-fundable DHDT¹ 'Starters in 2017-18' FTEs from Tables 7a and 7c of HESES17 and HEIFES17","Non-fundable DHDT¹ 'Starters in 2017-18' FTEs from Tables 7a and 7c of HESES17"))</f>
        <v>Non-fundable DHDT¹ 'Starters in 2017-18' FTEs from Tables 7a and 7c of HESES17 and HEIFES17</v>
      </c>
    </row>
    <row r="11" spans="1:23" x14ac:dyDescent="0.2">
      <c r="A11" s="118"/>
      <c r="B11" s="118"/>
      <c r="C11" s="119" t="str">
        <f>$W$19</f>
        <v>PGT (Other)</v>
      </c>
      <c r="D11" s="120">
        <v>255.87</v>
      </c>
      <c r="E11" s="121">
        <v>0</v>
      </c>
      <c r="F11" s="121">
        <v>0</v>
      </c>
      <c r="G11" s="121">
        <v>0</v>
      </c>
      <c r="H11" s="122">
        <v>0</v>
      </c>
      <c r="I11" s="123">
        <v>0</v>
      </c>
      <c r="J11" s="123">
        <v>255.87</v>
      </c>
      <c r="K11" s="124">
        <v>2584287</v>
      </c>
      <c r="M11" s="121">
        <v>0</v>
      </c>
      <c r="N11" s="121">
        <v>0</v>
      </c>
      <c r="O11" s="125">
        <v>0</v>
      </c>
      <c r="Q11" s="93" t="s">
        <v>7</v>
      </c>
      <c r="R11" s="93" t="s">
        <v>1</v>
      </c>
      <c r="S11" s="93" t="s">
        <v>53</v>
      </c>
      <c r="T11" s="94"/>
      <c r="U11" s="95" t="s">
        <v>37</v>
      </c>
      <c r="W11" s="12" t="str">
        <f>IF(HEIFLAG="No","Fundable UG 'Starters in 
2017-18' FTEs from Tables 7a and 7c of HEIFES17",IF(HEIFLAG="Both","Fundable UG 'Starters in 
2017-18' FTEs from Tables 7a and 7c of HESES17 and HEIFES17","Fundable UG 'Starters in 
2017-18' FTEs from Tables 7a and 7c of HESES17"))</f>
        <v>Fundable UG 'Starters in 
2017-18' FTEs from Tables 7a and 7c of HESES17 and HEIFES17</v>
      </c>
    </row>
    <row r="12" spans="1:23" x14ac:dyDescent="0.2">
      <c r="A12" s="87" t="s">
        <v>8</v>
      </c>
      <c r="B12" s="87" t="s">
        <v>269</v>
      </c>
      <c r="C12" s="56" t="s">
        <v>6</v>
      </c>
      <c r="D12" s="126">
        <v>201873.07</v>
      </c>
      <c r="E12" s="127">
        <v>6905</v>
      </c>
      <c r="F12" s="128">
        <v>0</v>
      </c>
      <c r="G12" s="128">
        <v>0</v>
      </c>
      <c r="H12" s="127">
        <v>-12.95</v>
      </c>
      <c r="I12" s="127">
        <v>572.96</v>
      </c>
      <c r="J12" s="127">
        <v>209338.08</v>
      </c>
      <c r="K12" s="129">
        <v>317147203</v>
      </c>
      <c r="M12" s="127">
        <v>7683</v>
      </c>
      <c r="N12" s="127">
        <v>14588</v>
      </c>
      <c r="O12" s="129">
        <v>22100820</v>
      </c>
      <c r="Q12" s="93" t="s">
        <v>8</v>
      </c>
      <c r="R12" s="93" t="s">
        <v>2</v>
      </c>
      <c r="S12" s="93" t="s">
        <v>6</v>
      </c>
      <c r="T12" s="94"/>
      <c r="U12"/>
    </row>
    <row r="13" spans="1:23" x14ac:dyDescent="0.2">
      <c r="A13" s="62"/>
      <c r="B13" s="62"/>
      <c r="C13" s="56" t="str">
        <f>$W$17</f>
        <v>PGT (UG fee)</v>
      </c>
      <c r="D13" s="96">
        <v>0</v>
      </c>
      <c r="E13" s="97">
        <v>0</v>
      </c>
      <c r="F13" s="98">
        <v>984</v>
      </c>
      <c r="G13" s="97">
        <v>0</v>
      </c>
      <c r="H13" s="117">
        <v>0</v>
      </c>
      <c r="I13" s="98">
        <v>57</v>
      </c>
      <c r="J13" s="98">
        <v>1041</v>
      </c>
      <c r="K13" s="99">
        <v>1577115</v>
      </c>
      <c r="M13" s="97">
        <v>0</v>
      </c>
      <c r="N13" s="98">
        <v>984</v>
      </c>
      <c r="O13" s="99">
        <v>1490760</v>
      </c>
      <c r="Q13" s="93" t="s">
        <v>8</v>
      </c>
      <c r="R13" s="93" t="s">
        <v>2</v>
      </c>
      <c r="S13" s="93" t="s">
        <v>36</v>
      </c>
      <c r="U13"/>
      <c r="W13" s="12" t="str">
        <f>IF(HEIFLAG="No","Of which related to NMAH¹ funding transfer","Of which related to NMAH² funding transfer")</f>
        <v>Of which related to NMAH² funding transfer</v>
      </c>
    </row>
    <row r="14" spans="1:23" x14ac:dyDescent="0.2">
      <c r="A14" s="62"/>
      <c r="B14" s="62"/>
      <c r="C14" s="56" t="str">
        <f>$W$18</f>
        <v>PGT (Masters loan)</v>
      </c>
      <c r="D14" s="96">
        <v>10136.58</v>
      </c>
      <c r="E14" s="97">
        <v>0</v>
      </c>
      <c r="F14" s="97">
        <v>0</v>
      </c>
      <c r="G14" s="97">
        <v>0</v>
      </c>
      <c r="H14" s="117">
        <v>0</v>
      </c>
      <c r="I14" s="98">
        <v>-57</v>
      </c>
      <c r="J14" s="98">
        <v>10079.58</v>
      </c>
      <c r="K14" s="99">
        <v>15270564</v>
      </c>
      <c r="M14" s="97">
        <v>0</v>
      </c>
      <c r="N14" s="97">
        <v>0</v>
      </c>
      <c r="O14" s="100">
        <v>0</v>
      </c>
      <c r="Q14" s="93" t="s">
        <v>8</v>
      </c>
      <c r="R14" s="93" t="s">
        <v>2</v>
      </c>
      <c r="S14" s="93" t="s">
        <v>52</v>
      </c>
      <c r="U14"/>
      <c r="W14" s="12" t="str">
        <f>IF(HEIFLAG="No","Total NMAH¹ FTEs for 
2018-19 
other targeted allocations","Total NMAH² FTEs for 
2018-19 
other targeted allocations")</f>
        <v>Total NMAH² FTEs for 
2018-19 
other targeted allocations</v>
      </c>
    </row>
    <row r="15" spans="1:23" x14ac:dyDescent="0.2">
      <c r="A15" s="62"/>
      <c r="B15" s="101"/>
      <c r="C15" s="102" t="str">
        <f>$W$19</f>
        <v>PGT (Other)</v>
      </c>
      <c r="D15" s="103">
        <v>577.26</v>
      </c>
      <c r="E15" s="104">
        <v>0</v>
      </c>
      <c r="F15" s="104">
        <v>0</v>
      </c>
      <c r="G15" s="104">
        <v>0</v>
      </c>
      <c r="H15" s="105">
        <v>0</v>
      </c>
      <c r="I15" s="106">
        <v>2</v>
      </c>
      <c r="J15" s="106">
        <v>579.26</v>
      </c>
      <c r="K15" s="107">
        <v>877580</v>
      </c>
      <c r="M15" s="104">
        <v>0</v>
      </c>
      <c r="N15" s="104">
        <v>0</v>
      </c>
      <c r="O15" s="108">
        <v>0</v>
      </c>
      <c r="Q15" s="93" t="s">
        <v>8</v>
      </c>
      <c r="R15" s="93" t="s">
        <v>2</v>
      </c>
      <c r="S15" s="93" t="s">
        <v>53</v>
      </c>
      <c r="U15"/>
    </row>
    <row r="16" spans="1:23" x14ac:dyDescent="0.2">
      <c r="A16" s="62"/>
      <c r="B16" s="109" t="s">
        <v>274</v>
      </c>
      <c r="C16" s="110" t="s">
        <v>6</v>
      </c>
      <c r="D16" s="111">
        <v>15694.81</v>
      </c>
      <c r="E16" s="115">
        <v>121.94</v>
      </c>
      <c r="F16" s="112">
        <v>0</v>
      </c>
      <c r="G16" s="112">
        <v>0</v>
      </c>
      <c r="H16" s="114">
        <v>0</v>
      </c>
      <c r="I16" s="115">
        <v>28.16</v>
      </c>
      <c r="J16" s="115">
        <v>15844.91</v>
      </c>
      <c r="K16" s="116">
        <v>24005069</v>
      </c>
      <c r="M16" s="115">
        <v>52.84</v>
      </c>
      <c r="N16" s="115">
        <v>174.78</v>
      </c>
      <c r="O16" s="116">
        <v>264797</v>
      </c>
      <c r="Q16" s="93" t="s">
        <v>8</v>
      </c>
      <c r="R16" s="93" t="s">
        <v>1</v>
      </c>
      <c r="S16" s="93" t="s">
        <v>6</v>
      </c>
      <c r="U16"/>
      <c r="W16" s="13" t="s">
        <v>79</v>
      </c>
    </row>
    <row r="17" spans="1:23" x14ac:dyDescent="0.2">
      <c r="A17" s="62"/>
      <c r="B17" s="62"/>
      <c r="C17" s="56" t="str">
        <f>$W$17</f>
        <v>PGT (UG fee)</v>
      </c>
      <c r="D17" s="96">
        <v>0</v>
      </c>
      <c r="E17" s="97">
        <v>0</v>
      </c>
      <c r="F17" s="98">
        <v>1.43</v>
      </c>
      <c r="G17" s="97">
        <v>0</v>
      </c>
      <c r="H17" s="117">
        <v>0</v>
      </c>
      <c r="I17" s="98">
        <v>0</v>
      </c>
      <c r="J17" s="98">
        <v>1.43</v>
      </c>
      <c r="K17" s="99">
        <v>2166</v>
      </c>
      <c r="M17" s="97">
        <v>0</v>
      </c>
      <c r="N17" s="98">
        <v>1.43</v>
      </c>
      <c r="O17" s="99">
        <v>2166</v>
      </c>
      <c r="Q17" s="93" t="s">
        <v>8</v>
      </c>
      <c r="R17" s="93" t="s">
        <v>1</v>
      </c>
      <c r="S17" s="93" t="s">
        <v>36</v>
      </c>
      <c r="U17"/>
      <c r="W17" s="12" t="str">
        <f>IF(HEIFLAG="No","PG (UG fee)","PGT (UG fee)")</f>
        <v>PGT (UG fee)</v>
      </c>
    </row>
    <row r="18" spans="1:23" x14ac:dyDescent="0.2">
      <c r="A18" s="62"/>
      <c r="B18" s="62"/>
      <c r="C18" s="56" t="str">
        <f>$W$18</f>
        <v>PGT (Masters loan)</v>
      </c>
      <c r="D18" s="96">
        <v>2410.83</v>
      </c>
      <c r="E18" s="97">
        <v>0</v>
      </c>
      <c r="F18" s="97">
        <v>0</v>
      </c>
      <c r="G18" s="97">
        <v>0</v>
      </c>
      <c r="H18" s="117">
        <v>0</v>
      </c>
      <c r="I18" s="98">
        <v>0</v>
      </c>
      <c r="J18" s="98">
        <v>2410.83</v>
      </c>
      <c r="K18" s="99">
        <v>3652412</v>
      </c>
      <c r="M18" s="97">
        <v>0</v>
      </c>
      <c r="N18" s="97">
        <v>0</v>
      </c>
      <c r="O18" s="100">
        <v>0</v>
      </c>
      <c r="Q18" s="93" t="s">
        <v>8</v>
      </c>
      <c r="R18" s="93" t="s">
        <v>1</v>
      </c>
      <c r="S18" s="93" t="s">
        <v>52</v>
      </c>
      <c r="U18"/>
      <c r="W18" s="12" t="str">
        <f>IF(HEIFLAG="No","PG (Masters loan)","PGT (Masters loan)")</f>
        <v>PGT (Masters loan)</v>
      </c>
    </row>
    <row r="19" spans="1:23" x14ac:dyDescent="0.2">
      <c r="A19" s="118"/>
      <c r="B19" s="118"/>
      <c r="C19" s="119" t="str">
        <f>$W$19</f>
        <v>PGT (Other)</v>
      </c>
      <c r="D19" s="120">
        <v>1764.56</v>
      </c>
      <c r="E19" s="121">
        <v>0</v>
      </c>
      <c r="F19" s="121">
        <v>0</v>
      </c>
      <c r="G19" s="121">
        <v>0</v>
      </c>
      <c r="H19" s="122">
        <v>0</v>
      </c>
      <c r="I19" s="123">
        <v>-0.5</v>
      </c>
      <c r="J19" s="123">
        <v>1764.06</v>
      </c>
      <c r="K19" s="124">
        <v>2672555</v>
      </c>
      <c r="M19" s="121">
        <v>0</v>
      </c>
      <c r="N19" s="121">
        <v>0</v>
      </c>
      <c r="O19" s="125">
        <v>0</v>
      </c>
      <c r="Q19" s="93" t="s">
        <v>8</v>
      </c>
      <c r="R19" s="93" t="s">
        <v>1</v>
      </c>
      <c r="S19" s="93" t="s">
        <v>53</v>
      </c>
      <c r="U19"/>
      <c r="W19" s="12" t="str">
        <f>IF(HEIFLAG="No","PG (Other)","PGT (Other)")</f>
        <v>PGT (Other)</v>
      </c>
    </row>
    <row r="20" spans="1:23" x14ac:dyDescent="0.2">
      <c r="A20" s="87" t="s">
        <v>29</v>
      </c>
      <c r="B20" s="87" t="s">
        <v>269</v>
      </c>
      <c r="C20" s="56" t="s">
        <v>6</v>
      </c>
      <c r="D20" s="126">
        <v>199674.23</v>
      </c>
      <c r="E20" s="127">
        <v>15627</v>
      </c>
      <c r="F20" s="128">
        <v>0</v>
      </c>
      <c r="G20" s="128">
        <v>0</v>
      </c>
      <c r="H20" s="130">
        <v>0</v>
      </c>
      <c r="I20" s="127">
        <v>58</v>
      </c>
      <c r="J20" s="127">
        <v>215359.23</v>
      </c>
      <c r="K20" s="129">
        <v>54378255</v>
      </c>
      <c r="L20" s="23"/>
      <c r="M20" s="127">
        <v>16781</v>
      </c>
      <c r="N20" s="127">
        <v>32408</v>
      </c>
      <c r="O20" s="129">
        <v>8183038</v>
      </c>
      <c r="P20" s="23"/>
      <c r="Q20" s="93" t="s">
        <v>29</v>
      </c>
      <c r="R20" s="93" t="s">
        <v>2</v>
      </c>
      <c r="S20" s="93" t="s">
        <v>6</v>
      </c>
      <c r="U20"/>
    </row>
    <row r="21" spans="1:23" x14ac:dyDescent="0.2">
      <c r="A21" s="62"/>
      <c r="B21" s="62"/>
      <c r="C21" s="56" t="str">
        <f>$W$17</f>
        <v>PGT (UG fee)</v>
      </c>
      <c r="D21" s="96">
        <v>1.35</v>
      </c>
      <c r="E21" s="97">
        <v>0</v>
      </c>
      <c r="F21" s="98">
        <v>1545</v>
      </c>
      <c r="G21" s="97">
        <v>0</v>
      </c>
      <c r="H21" s="117">
        <v>0</v>
      </c>
      <c r="I21" s="98">
        <v>0</v>
      </c>
      <c r="J21" s="98">
        <v>1546.35</v>
      </c>
      <c r="K21" s="99">
        <v>390461</v>
      </c>
      <c r="L21" s="23"/>
      <c r="M21" s="97">
        <v>0</v>
      </c>
      <c r="N21" s="98">
        <v>1545</v>
      </c>
      <c r="O21" s="99">
        <v>390120</v>
      </c>
      <c r="P21" s="23"/>
      <c r="Q21" s="93" t="s">
        <v>29</v>
      </c>
      <c r="R21" s="93" t="s">
        <v>2</v>
      </c>
      <c r="S21" s="93" t="s">
        <v>36</v>
      </c>
      <c r="U21"/>
    </row>
    <row r="22" spans="1:23" x14ac:dyDescent="0.2">
      <c r="A22" s="62"/>
      <c r="B22" s="62"/>
      <c r="C22" s="56" t="str">
        <f>$W$18</f>
        <v>PGT (Masters loan)</v>
      </c>
      <c r="D22" s="96">
        <v>10838.85</v>
      </c>
      <c r="E22" s="97">
        <v>0</v>
      </c>
      <c r="F22" s="97">
        <v>0</v>
      </c>
      <c r="G22" s="97">
        <v>0</v>
      </c>
      <c r="H22" s="117">
        <v>0</v>
      </c>
      <c r="I22" s="98">
        <v>0</v>
      </c>
      <c r="J22" s="98">
        <v>10838.85</v>
      </c>
      <c r="K22" s="99">
        <v>2736815</v>
      </c>
      <c r="L22" s="23"/>
      <c r="M22" s="97">
        <v>0</v>
      </c>
      <c r="N22" s="97">
        <v>0</v>
      </c>
      <c r="O22" s="100">
        <v>0</v>
      </c>
      <c r="P22" s="23"/>
      <c r="Q22" s="93" t="s">
        <v>29</v>
      </c>
      <c r="R22" s="93" t="s">
        <v>2</v>
      </c>
      <c r="S22" s="93" t="s">
        <v>52</v>
      </c>
      <c r="U22"/>
    </row>
    <row r="23" spans="1:23" x14ac:dyDescent="0.2">
      <c r="A23" s="62"/>
      <c r="B23" s="101"/>
      <c r="C23" s="102" t="str">
        <f>$W$19</f>
        <v>PGT (Other)</v>
      </c>
      <c r="D23" s="103">
        <v>385.75</v>
      </c>
      <c r="E23" s="104">
        <v>0</v>
      </c>
      <c r="F23" s="104">
        <v>0</v>
      </c>
      <c r="G23" s="104">
        <v>0</v>
      </c>
      <c r="H23" s="105">
        <v>0</v>
      </c>
      <c r="I23" s="106">
        <v>0</v>
      </c>
      <c r="J23" s="106">
        <v>385.75</v>
      </c>
      <c r="K23" s="107">
        <v>97411</v>
      </c>
      <c r="L23" s="23"/>
      <c r="M23" s="104">
        <v>0</v>
      </c>
      <c r="N23" s="104">
        <v>0</v>
      </c>
      <c r="O23" s="108">
        <v>0</v>
      </c>
      <c r="P23" s="23"/>
      <c r="Q23" s="93" t="s">
        <v>29</v>
      </c>
      <c r="R23" s="93" t="s">
        <v>2</v>
      </c>
      <c r="S23" s="93" t="s">
        <v>53</v>
      </c>
      <c r="U23"/>
    </row>
    <row r="24" spans="1:23" x14ac:dyDescent="0.2">
      <c r="A24" s="62"/>
      <c r="B24" s="109" t="s">
        <v>274</v>
      </c>
      <c r="C24" s="110" t="s">
        <v>6</v>
      </c>
      <c r="D24" s="111">
        <v>5245.52</v>
      </c>
      <c r="E24" s="115">
        <v>172.66</v>
      </c>
      <c r="F24" s="112">
        <v>0</v>
      </c>
      <c r="G24" s="112">
        <v>0</v>
      </c>
      <c r="H24" s="114">
        <v>0</v>
      </c>
      <c r="I24" s="115">
        <v>10.17</v>
      </c>
      <c r="J24" s="115">
        <v>5428.35</v>
      </c>
      <c r="K24" s="116">
        <v>1370662</v>
      </c>
      <c r="L24" s="23"/>
      <c r="M24" s="115">
        <v>59.35</v>
      </c>
      <c r="N24" s="115">
        <v>232.01</v>
      </c>
      <c r="O24" s="116">
        <v>58583</v>
      </c>
      <c r="P24" s="23"/>
      <c r="Q24" s="93" t="s">
        <v>29</v>
      </c>
      <c r="R24" s="93" t="s">
        <v>1</v>
      </c>
      <c r="S24" s="93" t="s">
        <v>6</v>
      </c>
      <c r="U24"/>
    </row>
    <row r="25" spans="1:23" x14ac:dyDescent="0.2">
      <c r="A25" s="62"/>
      <c r="B25" s="62"/>
      <c r="C25" s="56" t="str">
        <f>$W$17</f>
        <v>PGT (UG fee)</v>
      </c>
      <c r="D25" s="96">
        <v>0</v>
      </c>
      <c r="E25" s="97">
        <v>0</v>
      </c>
      <c r="F25" s="98">
        <v>3.24</v>
      </c>
      <c r="G25" s="97">
        <v>0</v>
      </c>
      <c r="H25" s="117">
        <v>0</v>
      </c>
      <c r="I25" s="98">
        <v>0</v>
      </c>
      <c r="J25" s="98">
        <v>3.24</v>
      </c>
      <c r="K25" s="99">
        <v>819</v>
      </c>
      <c r="L25" s="23"/>
      <c r="M25" s="97">
        <v>0</v>
      </c>
      <c r="N25" s="98">
        <v>3.24</v>
      </c>
      <c r="O25" s="99">
        <v>819</v>
      </c>
      <c r="P25" s="23"/>
      <c r="Q25" s="93" t="s">
        <v>29</v>
      </c>
      <c r="R25" s="93" t="s">
        <v>1</v>
      </c>
      <c r="S25" s="93" t="s">
        <v>36</v>
      </c>
      <c r="U25"/>
    </row>
    <row r="26" spans="1:23" x14ac:dyDescent="0.2">
      <c r="A26" s="62"/>
      <c r="B26" s="62"/>
      <c r="C26" s="56" t="str">
        <f>$W$18</f>
        <v>PGT (Masters loan)</v>
      </c>
      <c r="D26" s="96">
        <v>2463.5700000000002</v>
      </c>
      <c r="E26" s="97">
        <v>0</v>
      </c>
      <c r="F26" s="97">
        <v>0</v>
      </c>
      <c r="G26" s="97">
        <v>0</v>
      </c>
      <c r="H26" s="117">
        <v>0</v>
      </c>
      <c r="I26" s="98">
        <v>0</v>
      </c>
      <c r="J26" s="98">
        <v>2463.5700000000002</v>
      </c>
      <c r="K26" s="99">
        <v>622054</v>
      </c>
      <c r="L26" s="23"/>
      <c r="M26" s="97">
        <v>0</v>
      </c>
      <c r="N26" s="97">
        <v>0</v>
      </c>
      <c r="O26" s="100">
        <v>0</v>
      </c>
      <c r="P26" s="23"/>
      <c r="Q26" s="93" t="s">
        <v>29</v>
      </c>
      <c r="R26" s="93" t="s">
        <v>1</v>
      </c>
      <c r="S26" s="93" t="s">
        <v>52</v>
      </c>
      <c r="U26"/>
    </row>
    <row r="27" spans="1:23" x14ac:dyDescent="0.2">
      <c r="A27" s="118"/>
      <c r="B27" s="118"/>
      <c r="C27" s="119" t="str">
        <f>$W$19</f>
        <v>PGT (Other)</v>
      </c>
      <c r="D27" s="120">
        <v>315.83999999999997</v>
      </c>
      <c r="E27" s="121">
        <v>0</v>
      </c>
      <c r="F27" s="121">
        <v>0</v>
      </c>
      <c r="G27" s="121">
        <v>0</v>
      </c>
      <c r="H27" s="122">
        <v>0</v>
      </c>
      <c r="I27" s="123">
        <v>0</v>
      </c>
      <c r="J27" s="123">
        <v>315.83999999999997</v>
      </c>
      <c r="K27" s="124">
        <v>79753</v>
      </c>
      <c r="L27" s="23"/>
      <c r="M27" s="121">
        <v>0</v>
      </c>
      <c r="N27" s="121">
        <v>0</v>
      </c>
      <c r="O27" s="125">
        <v>0</v>
      </c>
      <c r="P27" s="23"/>
      <c r="Q27" s="93" t="s">
        <v>29</v>
      </c>
      <c r="R27" s="93" t="s">
        <v>1</v>
      </c>
      <c r="S27" s="93" t="s">
        <v>53</v>
      </c>
      <c r="U27"/>
    </row>
    <row r="28" spans="1:23" x14ac:dyDescent="0.2">
      <c r="A28" s="87" t="s">
        <v>30</v>
      </c>
      <c r="B28" s="87" t="s">
        <v>269</v>
      </c>
      <c r="C28" s="56" t="s">
        <v>6</v>
      </c>
      <c r="D28" s="126">
        <v>188716.26</v>
      </c>
      <c r="E28" s="128">
        <v>0</v>
      </c>
      <c r="F28" s="128">
        <v>0</v>
      </c>
      <c r="G28" s="128">
        <v>0</v>
      </c>
      <c r="H28" s="130">
        <v>0</v>
      </c>
      <c r="I28" s="130">
        <v>0</v>
      </c>
      <c r="J28" s="130">
        <v>0</v>
      </c>
      <c r="K28" s="130">
        <v>0</v>
      </c>
      <c r="L28" s="23"/>
      <c r="M28" s="128">
        <v>0</v>
      </c>
      <c r="N28" s="128">
        <v>0</v>
      </c>
      <c r="O28" s="130">
        <v>0</v>
      </c>
      <c r="P28" s="23"/>
      <c r="Q28" s="93" t="s">
        <v>30</v>
      </c>
      <c r="R28" s="93" t="s">
        <v>2</v>
      </c>
      <c r="S28" s="93" t="s">
        <v>6</v>
      </c>
      <c r="U28"/>
    </row>
    <row r="29" spans="1:23" x14ac:dyDescent="0.2">
      <c r="A29" s="62"/>
      <c r="B29" s="62"/>
      <c r="C29" s="56" t="str">
        <f>$W$17</f>
        <v>PGT (UG fee)</v>
      </c>
      <c r="D29" s="96">
        <v>3142.75</v>
      </c>
      <c r="E29" s="97">
        <v>0</v>
      </c>
      <c r="F29" s="97">
        <v>0</v>
      </c>
      <c r="G29" s="97">
        <v>0</v>
      </c>
      <c r="H29" s="117">
        <v>0</v>
      </c>
      <c r="I29" s="117">
        <v>0</v>
      </c>
      <c r="J29" s="117">
        <v>0</v>
      </c>
      <c r="K29" s="117">
        <v>0</v>
      </c>
      <c r="L29" s="23"/>
      <c r="M29" s="97">
        <v>0</v>
      </c>
      <c r="N29" s="97">
        <v>0</v>
      </c>
      <c r="O29" s="117">
        <v>0</v>
      </c>
      <c r="P29" s="23"/>
      <c r="Q29" s="93" t="s">
        <v>30</v>
      </c>
      <c r="R29" s="93" t="s">
        <v>2</v>
      </c>
      <c r="S29" s="93" t="s">
        <v>36</v>
      </c>
      <c r="U29"/>
    </row>
    <row r="30" spans="1:23" x14ac:dyDescent="0.2">
      <c r="A30" s="62"/>
      <c r="B30" s="62"/>
      <c r="C30" s="56" t="str">
        <f>$W$18</f>
        <v>PGT (Masters loan)</v>
      </c>
      <c r="D30" s="96">
        <v>12205.86</v>
      </c>
      <c r="E30" s="97">
        <v>0</v>
      </c>
      <c r="F30" s="97">
        <v>0</v>
      </c>
      <c r="G30" s="97">
        <v>0</v>
      </c>
      <c r="H30" s="117">
        <v>0</v>
      </c>
      <c r="I30" s="117">
        <v>0</v>
      </c>
      <c r="J30" s="117">
        <v>0</v>
      </c>
      <c r="K30" s="117">
        <v>0</v>
      </c>
      <c r="L30" s="23"/>
      <c r="M30" s="97">
        <v>0</v>
      </c>
      <c r="N30" s="97">
        <v>0</v>
      </c>
      <c r="O30" s="117">
        <v>0</v>
      </c>
      <c r="P30" s="23"/>
      <c r="Q30" s="93" t="s">
        <v>30</v>
      </c>
      <c r="R30" s="93" t="s">
        <v>2</v>
      </c>
      <c r="S30" s="93" t="s">
        <v>52</v>
      </c>
      <c r="U30"/>
    </row>
    <row r="31" spans="1:23" x14ac:dyDescent="0.2">
      <c r="A31" s="62"/>
      <c r="B31" s="101"/>
      <c r="C31" s="102" t="str">
        <f>$W$19</f>
        <v>PGT (Other)</v>
      </c>
      <c r="D31" s="103">
        <v>1072.42</v>
      </c>
      <c r="E31" s="104">
        <v>0</v>
      </c>
      <c r="F31" s="104">
        <v>0</v>
      </c>
      <c r="G31" s="104">
        <v>0</v>
      </c>
      <c r="H31" s="105">
        <v>0</v>
      </c>
      <c r="I31" s="105">
        <v>0</v>
      </c>
      <c r="J31" s="105">
        <v>0</v>
      </c>
      <c r="K31" s="105">
        <v>0</v>
      </c>
      <c r="L31" s="23"/>
      <c r="M31" s="104">
        <v>0</v>
      </c>
      <c r="N31" s="104">
        <v>0</v>
      </c>
      <c r="O31" s="105">
        <v>0</v>
      </c>
      <c r="P31" s="23"/>
      <c r="Q31" s="93" t="s">
        <v>30</v>
      </c>
      <c r="R31" s="93" t="s">
        <v>2</v>
      </c>
      <c r="S31" s="93" t="s">
        <v>53</v>
      </c>
      <c r="U31"/>
    </row>
    <row r="32" spans="1:23" ht="13.5" customHeight="1" x14ac:dyDescent="0.2">
      <c r="A32" s="62"/>
      <c r="B32" s="526" t="s">
        <v>128</v>
      </c>
      <c r="C32" s="110" t="s">
        <v>6</v>
      </c>
      <c r="D32" s="111">
        <v>12678.5</v>
      </c>
      <c r="E32" s="115">
        <v>0</v>
      </c>
      <c r="F32" s="112">
        <v>0</v>
      </c>
      <c r="G32" s="112">
        <v>0</v>
      </c>
      <c r="H32" s="114">
        <v>0</v>
      </c>
      <c r="I32" s="114">
        <v>0</v>
      </c>
      <c r="J32" s="114">
        <v>0</v>
      </c>
      <c r="K32" s="114">
        <v>0</v>
      </c>
      <c r="L32" s="23"/>
      <c r="M32" s="112">
        <v>0</v>
      </c>
      <c r="N32" s="112">
        <v>0</v>
      </c>
      <c r="O32" s="131">
        <v>0</v>
      </c>
      <c r="P32" s="23"/>
      <c r="Q32" s="93" t="s">
        <v>30</v>
      </c>
      <c r="R32" s="93" t="s">
        <v>14</v>
      </c>
      <c r="S32" s="93" t="s">
        <v>6</v>
      </c>
      <c r="U32"/>
    </row>
    <row r="33" spans="1:21" x14ac:dyDescent="0.2">
      <c r="A33" s="62"/>
      <c r="B33" s="527"/>
      <c r="C33" s="56" t="str">
        <f>$W$17</f>
        <v>PGT (UG fee)</v>
      </c>
      <c r="D33" s="96">
        <v>7.5</v>
      </c>
      <c r="E33" s="97">
        <v>0</v>
      </c>
      <c r="F33" s="97">
        <v>0</v>
      </c>
      <c r="G33" s="97">
        <v>0</v>
      </c>
      <c r="H33" s="117">
        <v>0</v>
      </c>
      <c r="I33" s="117">
        <v>0</v>
      </c>
      <c r="J33" s="117">
        <v>0</v>
      </c>
      <c r="K33" s="117">
        <v>0</v>
      </c>
      <c r="L33" s="23"/>
      <c r="M33" s="97">
        <v>0</v>
      </c>
      <c r="N33" s="97">
        <v>0</v>
      </c>
      <c r="O33" s="117">
        <v>0</v>
      </c>
      <c r="P33" s="23"/>
      <c r="Q33" s="93" t="s">
        <v>30</v>
      </c>
      <c r="R33" s="93" t="s">
        <v>14</v>
      </c>
      <c r="S33" s="93" t="s">
        <v>36</v>
      </c>
      <c r="U33"/>
    </row>
    <row r="34" spans="1:21" x14ac:dyDescent="0.2">
      <c r="A34" s="62"/>
      <c r="B34" s="132"/>
      <c r="C34" s="56" t="str">
        <f>$W$18</f>
        <v>PGT (Masters loan)</v>
      </c>
      <c r="D34" s="96">
        <v>12</v>
      </c>
      <c r="E34" s="97">
        <v>0</v>
      </c>
      <c r="F34" s="97">
        <v>0</v>
      </c>
      <c r="G34" s="97">
        <v>0</v>
      </c>
      <c r="H34" s="117">
        <v>0</v>
      </c>
      <c r="I34" s="117">
        <v>0</v>
      </c>
      <c r="J34" s="117">
        <v>0</v>
      </c>
      <c r="K34" s="117">
        <v>0</v>
      </c>
      <c r="L34" s="23"/>
      <c r="M34" s="97">
        <v>0</v>
      </c>
      <c r="N34" s="97">
        <v>0</v>
      </c>
      <c r="O34" s="117">
        <v>0</v>
      </c>
      <c r="P34" s="23"/>
      <c r="Q34" s="93" t="s">
        <v>30</v>
      </c>
      <c r="R34" s="93" t="s">
        <v>14</v>
      </c>
      <c r="S34" s="93" t="s">
        <v>52</v>
      </c>
      <c r="U34"/>
    </row>
    <row r="35" spans="1:21" x14ac:dyDescent="0.2">
      <c r="A35" s="62"/>
      <c r="B35" s="101"/>
      <c r="C35" s="102" t="str">
        <f>$W$19</f>
        <v>PGT (Other)</v>
      </c>
      <c r="D35" s="103">
        <v>0</v>
      </c>
      <c r="E35" s="104">
        <v>0</v>
      </c>
      <c r="F35" s="104">
        <v>0</v>
      </c>
      <c r="G35" s="104">
        <v>0</v>
      </c>
      <c r="H35" s="105">
        <v>0</v>
      </c>
      <c r="I35" s="105">
        <v>0</v>
      </c>
      <c r="J35" s="105">
        <v>0</v>
      </c>
      <c r="K35" s="105">
        <v>0</v>
      </c>
      <c r="L35" s="23"/>
      <c r="M35" s="104">
        <v>0</v>
      </c>
      <c r="N35" s="104">
        <v>0</v>
      </c>
      <c r="O35" s="105">
        <v>0</v>
      </c>
      <c r="P35" s="23"/>
      <c r="Q35" s="93" t="s">
        <v>30</v>
      </c>
      <c r="R35" s="93" t="s">
        <v>14</v>
      </c>
      <c r="S35" s="93" t="s">
        <v>53</v>
      </c>
      <c r="U35"/>
    </row>
    <row r="36" spans="1:21" x14ac:dyDescent="0.2">
      <c r="A36" s="62"/>
      <c r="B36" s="109" t="s">
        <v>274</v>
      </c>
      <c r="C36" s="110" t="s">
        <v>6</v>
      </c>
      <c r="D36" s="111">
        <v>19875.05</v>
      </c>
      <c r="E36" s="112">
        <v>0</v>
      </c>
      <c r="F36" s="112">
        <v>0</v>
      </c>
      <c r="G36" s="112">
        <v>0</v>
      </c>
      <c r="H36" s="114">
        <v>0</v>
      </c>
      <c r="I36" s="114">
        <v>0</v>
      </c>
      <c r="J36" s="114">
        <v>0</v>
      </c>
      <c r="K36" s="114">
        <v>0</v>
      </c>
      <c r="L36" s="23"/>
      <c r="M36" s="112">
        <v>0</v>
      </c>
      <c r="N36" s="112">
        <v>0</v>
      </c>
      <c r="O36" s="114">
        <v>0</v>
      </c>
      <c r="P36" s="23"/>
      <c r="Q36" s="93" t="s">
        <v>30</v>
      </c>
      <c r="R36" s="93" t="s">
        <v>1</v>
      </c>
      <c r="S36" s="93" t="s">
        <v>6</v>
      </c>
      <c r="U36"/>
    </row>
    <row r="37" spans="1:21" x14ac:dyDescent="0.2">
      <c r="A37" s="62"/>
      <c r="B37" s="62"/>
      <c r="C37" s="56" t="str">
        <f>$W$17</f>
        <v>PGT (UG fee)</v>
      </c>
      <c r="D37" s="96">
        <v>618.38</v>
      </c>
      <c r="E37" s="97">
        <v>0</v>
      </c>
      <c r="F37" s="97">
        <v>0</v>
      </c>
      <c r="G37" s="97">
        <v>0</v>
      </c>
      <c r="H37" s="117">
        <v>0</v>
      </c>
      <c r="I37" s="117">
        <v>0</v>
      </c>
      <c r="J37" s="117">
        <v>0</v>
      </c>
      <c r="K37" s="117">
        <v>0</v>
      </c>
      <c r="L37" s="23"/>
      <c r="M37" s="97">
        <v>0</v>
      </c>
      <c r="N37" s="97">
        <v>0</v>
      </c>
      <c r="O37" s="117">
        <v>0</v>
      </c>
      <c r="P37" s="23"/>
      <c r="Q37" s="93" t="s">
        <v>30</v>
      </c>
      <c r="R37" s="93" t="s">
        <v>1</v>
      </c>
      <c r="S37" s="93" t="s">
        <v>36</v>
      </c>
      <c r="U37"/>
    </row>
    <row r="38" spans="1:21" x14ac:dyDescent="0.2">
      <c r="A38" s="62"/>
      <c r="B38" s="62"/>
      <c r="C38" s="56" t="str">
        <f>$W$18</f>
        <v>PGT (Masters loan)</v>
      </c>
      <c r="D38" s="96">
        <v>4998.26</v>
      </c>
      <c r="E38" s="97">
        <v>0</v>
      </c>
      <c r="F38" s="97">
        <v>0</v>
      </c>
      <c r="G38" s="97">
        <v>0</v>
      </c>
      <c r="H38" s="117">
        <v>0</v>
      </c>
      <c r="I38" s="117">
        <v>0</v>
      </c>
      <c r="J38" s="117">
        <v>0</v>
      </c>
      <c r="K38" s="117">
        <v>0</v>
      </c>
      <c r="L38" s="23"/>
      <c r="M38" s="97">
        <v>0</v>
      </c>
      <c r="N38" s="97">
        <v>0</v>
      </c>
      <c r="O38" s="117">
        <v>0</v>
      </c>
      <c r="P38" s="23"/>
      <c r="Q38" s="93" t="s">
        <v>30</v>
      </c>
      <c r="R38" s="93" t="s">
        <v>1</v>
      </c>
      <c r="S38" s="93" t="s">
        <v>52</v>
      </c>
      <c r="U38"/>
    </row>
    <row r="39" spans="1:21" x14ac:dyDescent="0.2">
      <c r="A39" s="118"/>
      <c r="B39" s="118"/>
      <c r="C39" s="119" t="str">
        <f>$W$19</f>
        <v>PGT (Other)</v>
      </c>
      <c r="D39" s="120">
        <v>3188.16</v>
      </c>
      <c r="E39" s="121">
        <v>0</v>
      </c>
      <c r="F39" s="121">
        <v>0</v>
      </c>
      <c r="G39" s="121">
        <v>0</v>
      </c>
      <c r="H39" s="122">
        <v>0</v>
      </c>
      <c r="I39" s="122">
        <v>0</v>
      </c>
      <c r="J39" s="122">
        <v>0</v>
      </c>
      <c r="K39" s="122">
        <v>0</v>
      </c>
      <c r="L39" s="23"/>
      <c r="M39" s="121">
        <v>0</v>
      </c>
      <c r="N39" s="121">
        <v>0</v>
      </c>
      <c r="O39" s="122">
        <v>0</v>
      </c>
      <c r="P39" s="23"/>
      <c r="Q39" s="93" t="s">
        <v>30</v>
      </c>
      <c r="R39" s="93" t="s">
        <v>1</v>
      </c>
      <c r="S39" s="93" t="s">
        <v>53</v>
      </c>
      <c r="U39"/>
    </row>
    <row r="40" spans="1:21" x14ac:dyDescent="0.2">
      <c r="A40" s="87" t="s">
        <v>9</v>
      </c>
      <c r="B40" s="87" t="s">
        <v>269</v>
      </c>
      <c r="C40" s="56" t="s">
        <v>6</v>
      </c>
      <c r="D40" s="126">
        <v>336152.27</v>
      </c>
      <c r="E40" s="128">
        <v>0</v>
      </c>
      <c r="F40" s="128">
        <v>0</v>
      </c>
      <c r="G40" s="128">
        <v>0</v>
      </c>
      <c r="H40" s="130">
        <v>0</v>
      </c>
      <c r="I40" s="130">
        <v>0</v>
      </c>
      <c r="J40" s="130">
        <v>0</v>
      </c>
      <c r="K40" s="130">
        <v>0</v>
      </c>
      <c r="L40" s="23"/>
      <c r="M40" s="128">
        <v>0</v>
      </c>
      <c r="N40" s="128">
        <v>0</v>
      </c>
      <c r="O40" s="130">
        <v>0</v>
      </c>
      <c r="P40" s="23"/>
      <c r="Q40" s="93" t="s">
        <v>9</v>
      </c>
      <c r="R40" s="93" t="s">
        <v>2</v>
      </c>
      <c r="S40" s="93" t="s">
        <v>6</v>
      </c>
      <c r="U40"/>
    </row>
    <row r="41" spans="1:21" x14ac:dyDescent="0.2">
      <c r="A41" s="62"/>
      <c r="B41" s="62"/>
      <c r="C41" s="56" t="str">
        <f>$W$17</f>
        <v>PGT (UG fee)</v>
      </c>
      <c r="D41" s="96">
        <v>67.900000000000006</v>
      </c>
      <c r="E41" s="97">
        <v>0</v>
      </c>
      <c r="F41" s="97">
        <v>0</v>
      </c>
      <c r="G41" s="97">
        <v>0</v>
      </c>
      <c r="H41" s="117">
        <v>0</v>
      </c>
      <c r="I41" s="117">
        <v>0</v>
      </c>
      <c r="J41" s="117">
        <v>0</v>
      </c>
      <c r="K41" s="117">
        <v>0</v>
      </c>
      <c r="L41" s="23"/>
      <c r="M41" s="97">
        <v>0</v>
      </c>
      <c r="N41" s="97">
        <v>0</v>
      </c>
      <c r="O41" s="117">
        <v>0</v>
      </c>
      <c r="P41" s="23"/>
      <c r="Q41" s="93" t="s">
        <v>9</v>
      </c>
      <c r="R41" s="93" t="s">
        <v>2</v>
      </c>
      <c r="S41" s="93" t="s">
        <v>36</v>
      </c>
      <c r="U41"/>
    </row>
    <row r="42" spans="1:21" x14ac:dyDescent="0.2">
      <c r="A42" s="62"/>
      <c r="B42" s="62"/>
      <c r="C42" s="56" t="str">
        <f>$W$18</f>
        <v>PGT (Masters loan)</v>
      </c>
      <c r="D42" s="96">
        <v>24492.38</v>
      </c>
      <c r="E42" s="97">
        <v>0</v>
      </c>
      <c r="F42" s="97">
        <v>0</v>
      </c>
      <c r="G42" s="97">
        <v>0</v>
      </c>
      <c r="H42" s="117">
        <v>0</v>
      </c>
      <c r="I42" s="117">
        <v>0</v>
      </c>
      <c r="J42" s="117">
        <v>0</v>
      </c>
      <c r="K42" s="117">
        <v>0</v>
      </c>
      <c r="L42" s="23"/>
      <c r="M42" s="97">
        <v>0</v>
      </c>
      <c r="N42" s="97">
        <v>0</v>
      </c>
      <c r="O42" s="117">
        <v>0</v>
      </c>
      <c r="P42" s="23"/>
      <c r="Q42" s="93" t="s">
        <v>9</v>
      </c>
      <c r="R42" s="93" t="s">
        <v>2</v>
      </c>
      <c r="S42" s="93" t="s">
        <v>52</v>
      </c>
      <c r="U42"/>
    </row>
    <row r="43" spans="1:21" x14ac:dyDescent="0.2">
      <c r="A43" s="62"/>
      <c r="B43" s="101"/>
      <c r="C43" s="102" t="str">
        <f>$W$19</f>
        <v>PGT (Other)</v>
      </c>
      <c r="D43" s="103">
        <v>1235.6300000000001</v>
      </c>
      <c r="E43" s="104">
        <v>0</v>
      </c>
      <c r="F43" s="104">
        <v>0</v>
      </c>
      <c r="G43" s="104">
        <v>0</v>
      </c>
      <c r="H43" s="105">
        <v>0</v>
      </c>
      <c r="I43" s="105">
        <v>0</v>
      </c>
      <c r="J43" s="105">
        <v>0</v>
      </c>
      <c r="K43" s="105">
        <v>0</v>
      </c>
      <c r="M43" s="104">
        <v>0</v>
      </c>
      <c r="N43" s="104">
        <v>0</v>
      </c>
      <c r="O43" s="105">
        <v>0</v>
      </c>
      <c r="Q43" s="93" t="s">
        <v>9</v>
      </c>
      <c r="R43" s="93" t="s">
        <v>2</v>
      </c>
      <c r="S43" s="93" t="s">
        <v>53</v>
      </c>
      <c r="U43"/>
    </row>
    <row r="44" spans="1:21" x14ac:dyDescent="0.2">
      <c r="A44" s="62"/>
      <c r="B44" s="109" t="s">
        <v>274</v>
      </c>
      <c r="C44" s="110" t="s">
        <v>6</v>
      </c>
      <c r="D44" s="111">
        <v>24890.46</v>
      </c>
      <c r="E44" s="112">
        <v>0</v>
      </c>
      <c r="F44" s="112">
        <v>0</v>
      </c>
      <c r="G44" s="112">
        <v>0</v>
      </c>
      <c r="H44" s="114">
        <v>0</v>
      </c>
      <c r="I44" s="114">
        <v>0</v>
      </c>
      <c r="J44" s="114">
        <v>0</v>
      </c>
      <c r="K44" s="114">
        <v>0</v>
      </c>
      <c r="M44" s="112">
        <v>0</v>
      </c>
      <c r="N44" s="112">
        <v>0</v>
      </c>
      <c r="O44" s="114">
        <v>0</v>
      </c>
      <c r="Q44" s="93" t="s">
        <v>9</v>
      </c>
      <c r="R44" s="93" t="s">
        <v>1</v>
      </c>
      <c r="S44" s="93" t="s">
        <v>6</v>
      </c>
      <c r="U44"/>
    </row>
    <row r="45" spans="1:21" x14ac:dyDescent="0.2">
      <c r="A45" s="62"/>
      <c r="B45" s="62"/>
      <c r="C45" s="56" t="str">
        <f>$W$17</f>
        <v>PGT (UG fee)</v>
      </c>
      <c r="D45" s="96">
        <v>71.98</v>
      </c>
      <c r="E45" s="97">
        <v>0</v>
      </c>
      <c r="F45" s="97">
        <v>0</v>
      </c>
      <c r="G45" s="97">
        <v>0</v>
      </c>
      <c r="H45" s="117">
        <v>0</v>
      </c>
      <c r="I45" s="117">
        <v>0</v>
      </c>
      <c r="J45" s="117">
        <v>0</v>
      </c>
      <c r="K45" s="117">
        <v>0</v>
      </c>
      <c r="M45" s="97">
        <v>0</v>
      </c>
      <c r="N45" s="97">
        <v>0</v>
      </c>
      <c r="O45" s="117">
        <v>0</v>
      </c>
      <c r="Q45" s="93" t="s">
        <v>9</v>
      </c>
      <c r="R45" s="93" t="s">
        <v>1</v>
      </c>
      <c r="S45" s="93" t="s">
        <v>36</v>
      </c>
      <c r="U45"/>
    </row>
    <row r="46" spans="1:21" x14ac:dyDescent="0.2">
      <c r="A46" s="62"/>
      <c r="B46" s="62"/>
      <c r="C46" s="56" t="str">
        <f>$W$18</f>
        <v>PGT (Masters loan)</v>
      </c>
      <c r="D46" s="96">
        <v>8331.2099999999991</v>
      </c>
      <c r="E46" s="97">
        <v>0</v>
      </c>
      <c r="F46" s="97">
        <v>0</v>
      </c>
      <c r="G46" s="97">
        <v>0</v>
      </c>
      <c r="H46" s="117">
        <v>0</v>
      </c>
      <c r="I46" s="117">
        <v>0</v>
      </c>
      <c r="J46" s="117">
        <v>0</v>
      </c>
      <c r="K46" s="117">
        <v>0</v>
      </c>
      <c r="M46" s="97">
        <v>0</v>
      </c>
      <c r="N46" s="97">
        <v>0</v>
      </c>
      <c r="O46" s="117">
        <v>0</v>
      </c>
      <c r="Q46" s="93" t="s">
        <v>9</v>
      </c>
      <c r="R46" s="93" t="s">
        <v>1</v>
      </c>
      <c r="S46" s="93" t="s">
        <v>52</v>
      </c>
      <c r="U46"/>
    </row>
    <row r="47" spans="1:21" ht="14.25" thickBot="1" x14ac:dyDescent="0.25">
      <c r="A47" s="62"/>
      <c r="B47" s="62"/>
      <c r="C47" s="56" t="str">
        <f>$W$19</f>
        <v>PGT (Other)</v>
      </c>
      <c r="D47" s="133">
        <v>3009.68</v>
      </c>
      <c r="E47" s="134">
        <v>0</v>
      </c>
      <c r="F47" s="134">
        <v>0</v>
      </c>
      <c r="G47" s="134">
        <v>0</v>
      </c>
      <c r="H47" s="135">
        <v>0</v>
      </c>
      <c r="I47" s="135">
        <v>0</v>
      </c>
      <c r="J47" s="135">
        <v>0</v>
      </c>
      <c r="K47" s="135">
        <v>0</v>
      </c>
      <c r="M47" s="134">
        <v>0</v>
      </c>
      <c r="N47" s="134">
        <v>0</v>
      </c>
      <c r="O47" s="135">
        <v>0</v>
      </c>
      <c r="Q47" s="93" t="s">
        <v>9</v>
      </c>
      <c r="R47" s="93" t="s">
        <v>1</v>
      </c>
      <c r="S47" s="93" t="s">
        <v>53</v>
      </c>
      <c r="U47"/>
    </row>
    <row r="48" spans="1:21" ht="14.25" thickTop="1" x14ac:dyDescent="0.2">
      <c r="A48" s="136" t="s">
        <v>3</v>
      </c>
      <c r="B48" s="136"/>
      <c r="C48" s="137" t="s">
        <v>6</v>
      </c>
      <c r="D48" s="138">
        <f>SUMIF($C$6:$C$47,"="&amp;$C$48,D$6:D$47)</f>
        <v>1027757.1300000001</v>
      </c>
      <c r="E48" s="139">
        <f>SUM(E12,E16,E20,E24,E32)</f>
        <v>22826.6</v>
      </c>
      <c r="F48" s="140"/>
      <c r="G48" s="139">
        <f>SUM(G6,G9)</f>
        <v>118.32</v>
      </c>
      <c r="H48" s="139">
        <f>SUM(H6,H12)</f>
        <v>-80.625</v>
      </c>
      <c r="I48" s="139">
        <f>SUM(I6,I9,I12,I16,I20,I24)</f>
        <v>1075.9100000000001</v>
      </c>
      <c r="J48" s="139">
        <f t="shared" ref="J48:K48" si="0">SUM(J6,J9,J12,J16,J20,J24)</f>
        <v>469384.79499999998</v>
      </c>
      <c r="K48" s="141">
        <f t="shared" si="0"/>
        <v>633384866</v>
      </c>
      <c r="M48" s="139">
        <f>SUM(M12,M16,M20,M24)</f>
        <v>24576.19</v>
      </c>
      <c r="N48" s="139">
        <f>SUM(N6,N9,N12,N16,N20,N24)</f>
        <v>47521.11</v>
      </c>
      <c r="O48" s="141">
        <f>SUM(O6,O9,O12,O16,O20,O24)</f>
        <v>31802270</v>
      </c>
      <c r="U48"/>
    </row>
    <row r="49" spans="1:21" x14ac:dyDescent="0.2">
      <c r="A49" s="142"/>
      <c r="B49" s="142"/>
      <c r="C49" s="26" t="str">
        <f>$W$17</f>
        <v>PGT (UG fee)</v>
      </c>
      <c r="D49" s="96">
        <f>SUMIF($C$6:$C$47,"="&amp;$C$49,D$6:D$47)</f>
        <v>3909.86</v>
      </c>
      <c r="E49" s="97"/>
      <c r="F49" s="98">
        <f>SUM(F13,F17,F21,F25)</f>
        <v>2533.6699999999996</v>
      </c>
      <c r="G49" s="97"/>
      <c r="H49" s="97"/>
      <c r="I49" s="98">
        <f>SUM(I13,I17,I21,I25)</f>
        <v>57</v>
      </c>
      <c r="J49" s="98">
        <f t="shared" ref="J49:K49" si="1">SUM(J13,J17,J21,J25)</f>
        <v>2592.0199999999995</v>
      </c>
      <c r="K49" s="99">
        <f t="shared" si="1"/>
        <v>1970561</v>
      </c>
      <c r="M49" s="97"/>
      <c r="N49" s="98">
        <f>SUM(N13,N17,N21,N25)</f>
        <v>2533.6699999999996</v>
      </c>
      <c r="O49" s="99">
        <f>SUM(O13,O17,O21,O25)</f>
        <v>1883865</v>
      </c>
      <c r="U49"/>
    </row>
    <row r="50" spans="1:21" x14ac:dyDescent="0.2">
      <c r="A50" s="142"/>
      <c r="B50" s="142"/>
      <c r="C50" s="26" t="str">
        <f>$W$18</f>
        <v>PGT (Masters loan)</v>
      </c>
      <c r="D50" s="96">
        <f>SUMIF($C$6:$C$47,"="&amp;$C$50,D$6:D$47)</f>
        <v>77327.51999999999</v>
      </c>
      <c r="E50" s="97"/>
      <c r="F50" s="97"/>
      <c r="G50" s="97"/>
      <c r="H50" s="97"/>
      <c r="I50" s="98">
        <f>SUM(I7,I10,I14,I18,I22,I26)</f>
        <v>-57</v>
      </c>
      <c r="J50" s="98">
        <f t="shared" ref="J50:K50" si="2">SUM(J7,J10,J14,J18,J22,J26)</f>
        <v>27230.809999999998</v>
      </c>
      <c r="K50" s="99">
        <f t="shared" si="2"/>
        <v>36805443</v>
      </c>
      <c r="M50" s="97"/>
      <c r="N50" s="97"/>
      <c r="O50" s="100"/>
      <c r="U50"/>
    </row>
    <row r="51" spans="1:21" x14ac:dyDescent="0.2">
      <c r="A51" s="142"/>
      <c r="B51" s="142"/>
      <c r="C51" s="143" t="str">
        <f>$W$19</f>
        <v>PGT (Other)</v>
      </c>
      <c r="D51" s="133">
        <f>SUMIF($C$6:$C$47,"="&amp;$C$51,D$6:D$47)</f>
        <v>12079.11</v>
      </c>
      <c r="E51" s="134"/>
      <c r="F51" s="134"/>
      <c r="G51" s="134"/>
      <c r="H51" s="134"/>
      <c r="I51" s="144">
        <f>SUM(I8,I11,I15,I19,I23,I27)</f>
        <v>1.5</v>
      </c>
      <c r="J51" s="144">
        <f t="shared" ref="J51" si="3">SUM(J8,J11,J15,J19,J23,J27)</f>
        <v>3574.7200000000003</v>
      </c>
      <c r="K51" s="145">
        <f>SUM(K8,K11,K15,K19,K23,K27)</f>
        <v>9078380</v>
      </c>
      <c r="M51" s="134"/>
      <c r="N51" s="134"/>
      <c r="O51" s="146"/>
      <c r="U51"/>
    </row>
    <row r="52" spans="1:21" ht="14.25" thickBot="1" x14ac:dyDescent="0.25">
      <c r="A52" s="147"/>
      <c r="B52" s="147"/>
      <c r="C52" s="148" t="s">
        <v>4</v>
      </c>
      <c r="D52" s="149">
        <f>SUM(D48:D51)</f>
        <v>1121073.6200000001</v>
      </c>
      <c r="E52" s="150">
        <f>E48</f>
        <v>22826.6</v>
      </c>
      <c r="F52" s="150">
        <f>F49</f>
        <v>2533.6699999999996</v>
      </c>
      <c r="G52" s="150">
        <f>G48</f>
        <v>118.32</v>
      </c>
      <c r="H52" s="151">
        <f>H48</f>
        <v>-80.625</v>
      </c>
      <c r="I52" s="151">
        <f t="shared" ref="I52:K52" si="4">SUM(I48:I51)</f>
        <v>1077.4100000000001</v>
      </c>
      <c r="J52" s="151">
        <f t="shared" si="4"/>
        <v>502782.34499999997</v>
      </c>
      <c r="K52" s="152">
        <f t="shared" si="4"/>
        <v>681239250</v>
      </c>
      <c r="M52" s="150">
        <f>M48</f>
        <v>24576.19</v>
      </c>
      <c r="N52" s="150">
        <f>SUM(N48:N49)</f>
        <v>50054.78</v>
      </c>
      <c r="O52" s="152">
        <f>SUM(O48:O49)</f>
        <v>33686135</v>
      </c>
      <c r="U52"/>
    </row>
    <row r="53" spans="1:21" x14ac:dyDescent="0.2">
      <c r="U53" s="516" t="s">
        <v>229</v>
      </c>
    </row>
    <row r="54" spans="1:21" x14ac:dyDescent="0.2">
      <c r="A54" s="12" t="s">
        <v>292</v>
      </c>
      <c r="U54" s="95" t="s">
        <v>37</v>
      </c>
    </row>
    <row r="55" spans="1:21" x14ac:dyDescent="0.2">
      <c r="A55" s="12" t="str">
        <f>IF(HEIFLAG="No",IF(FECHEALTHFLAG="No","","¹ Nursing, midwifery and allied health"),"² Nursing, midwifery and allied health")</f>
        <v>² Nursing, midwifery and allied health</v>
      </c>
    </row>
    <row r="57" spans="1:21" hidden="1" x14ac:dyDescent="0.2">
      <c r="D57" s="93" t="s">
        <v>49</v>
      </c>
      <c r="E57" s="93" t="s">
        <v>233</v>
      </c>
      <c r="F57" s="93" t="s">
        <v>235</v>
      </c>
      <c r="G57" s="93" t="s">
        <v>236</v>
      </c>
      <c r="H57" s="93" t="s">
        <v>40</v>
      </c>
      <c r="I57" s="93" t="s">
        <v>144</v>
      </c>
      <c r="J57" s="93" t="s">
        <v>143</v>
      </c>
      <c r="K57" s="93" t="s">
        <v>142</v>
      </c>
      <c r="L57" s="153"/>
      <c r="M57" s="93" t="s">
        <v>234</v>
      </c>
      <c r="N57" s="93" t="s">
        <v>160</v>
      </c>
      <c r="O57" s="154" t="s">
        <v>145</v>
      </c>
    </row>
    <row r="58" spans="1:21" hidden="1" x14ac:dyDescent="0.2">
      <c r="H58" s="155"/>
    </row>
    <row r="59" spans="1:21" hidden="1" x14ac:dyDescent="0.2">
      <c r="A59" s="62"/>
      <c r="B59" s="62"/>
      <c r="C59" s="62"/>
      <c r="E59" s="12" t="s">
        <v>231</v>
      </c>
      <c r="G59" s="12" t="s">
        <v>229</v>
      </c>
      <c r="H59" s="12" t="s">
        <v>230</v>
      </c>
      <c r="M59" s="12" t="s">
        <v>231</v>
      </c>
    </row>
    <row r="60" spans="1:21" hidden="1" x14ac:dyDescent="0.2">
      <c r="A60" s="62"/>
      <c r="B60" s="62"/>
      <c r="C60" s="62"/>
      <c r="E60" s="20" t="s">
        <v>37</v>
      </c>
      <c r="F60" s="20" t="s">
        <v>37</v>
      </c>
      <c r="G60" s="19" t="s">
        <v>37</v>
      </c>
      <c r="H60" s="156" t="s">
        <v>37</v>
      </c>
      <c r="I60"/>
      <c r="J60"/>
      <c r="K60"/>
      <c r="L60"/>
      <c r="M60" s="20" t="s">
        <v>37</v>
      </c>
      <c r="N60" s="20" t="s">
        <v>37</v>
      </c>
      <c r="O60" s="20"/>
    </row>
    <row r="61" spans="1:21" x14ac:dyDescent="0.2">
      <c r="A61" s="62"/>
      <c r="B61" s="62"/>
      <c r="C61" s="62"/>
    </row>
    <row r="62" spans="1:21" x14ac:dyDescent="0.2">
      <c r="A62" s="62"/>
      <c r="B62" s="62"/>
      <c r="C62" s="62"/>
    </row>
    <row r="63" spans="1:21" x14ac:dyDescent="0.2">
      <c r="A63" s="62"/>
      <c r="B63" s="62"/>
      <c r="C63" s="62"/>
    </row>
    <row r="64" spans="1:21" x14ac:dyDescent="0.2">
      <c r="A64" s="62"/>
      <c r="B64" s="62"/>
      <c r="C64" s="62"/>
    </row>
    <row r="65" spans="1:3" x14ac:dyDescent="0.2">
      <c r="A65" s="157"/>
      <c r="B65" s="157"/>
      <c r="C65" s="157"/>
    </row>
  </sheetData>
  <mergeCells count="11">
    <mergeCell ref="B32:B33"/>
    <mergeCell ref="A1:J1"/>
    <mergeCell ref="M4:O4"/>
    <mergeCell ref="D4:D5"/>
    <mergeCell ref="E4:E5"/>
    <mergeCell ref="F4:F5"/>
    <mergeCell ref="G4:G5"/>
    <mergeCell ref="H4:H5"/>
    <mergeCell ref="I4:I5"/>
    <mergeCell ref="J4:J5"/>
    <mergeCell ref="K4:K5"/>
  </mergeCells>
  <phoneticPr fontId="0" type="noConversion"/>
  <conditionalFormatting sqref="D6:D52 E12 E16 E20 E24 E32 E48 F49 F25 F21 F17 F13 G9 E52:H52 G48:H48 H12 G6:H6 I6:K27 I48:K52 M52:O52 N48:O49 M48 N24:O25 M24 M20 M16 M12 N20:O21 N16:O17 N12:O13 N9:O9 N6:O6">
    <cfRule type="cellIs" dxfId="4" priority="1" operator="equal">
      <formula>0</formula>
    </cfRule>
  </conditionalFormatting>
  <pageMargins left="0.70866141732283472" right="0.70866141732283472" top="0.74803149606299213" bottom="0.74803149606299213" header="0.31496062992125984" footer="0.31496062992125984"/>
  <pageSetup paperSize="9" scale="60" orientation="landscape" r:id="rId1"/>
  <ignoredErrors>
    <ignoredError sqref="F5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AJ95"/>
  <sheetViews>
    <sheetView showGridLines="0" zoomScaleNormal="100" workbookViewId="0">
      <selection sqref="A1:F1"/>
    </sheetView>
  </sheetViews>
  <sheetFormatPr defaultColWidth="9.140625" defaultRowHeight="13.5" x14ac:dyDescent="0.2"/>
  <cols>
    <col min="1" max="1" width="14.7109375" style="162" customWidth="1"/>
    <col min="2" max="2" width="14.28515625" style="162" customWidth="1"/>
    <col min="3" max="3" width="12.5703125" style="162" customWidth="1"/>
    <col min="4" max="4" width="14.140625" style="162" customWidth="1"/>
    <col min="5" max="5" width="21.7109375" style="158" customWidth="1"/>
    <col min="6" max="6" width="6.85546875" style="158" customWidth="1"/>
    <col min="7" max="7" width="13.42578125" style="159" customWidth="1"/>
    <col min="8" max="8" width="25.85546875" style="160" hidden="1" customWidth="1"/>
    <col min="9" max="9" width="15.42578125" style="159" hidden="1" customWidth="1"/>
    <col min="10" max="11" width="12.140625" style="161" hidden="1" customWidth="1"/>
    <col min="12" max="12" width="9.140625" style="162" hidden="1" customWidth="1"/>
    <col min="13" max="13" width="13.7109375" style="162" hidden="1" customWidth="1"/>
    <col min="14" max="14" width="13.5703125" style="162" hidden="1" customWidth="1"/>
    <col min="15" max="15" width="9.140625" style="162" hidden="1" customWidth="1"/>
    <col min="16" max="16" width="9.140625" style="162" customWidth="1"/>
    <col min="17" max="17" width="9.140625" style="162"/>
    <col min="18" max="18" width="11.7109375" style="162" bestFit="1" customWidth="1"/>
    <col min="19" max="16384" width="9.140625" style="162"/>
  </cols>
  <sheetData>
    <row r="1" spans="1:15" ht="15.75" customHeight="1" x14ac:dyDescent="0.25">
      <c r="A1" s="539" t="str">
        <f>'A Summary'!J8</f>
        <v xml:space="preserve">Sector summary of all providers </v>
      </c>
      <c r="B1" s="539"/>
      <c r="C1" s="539"/>
      <c r="D1" s="539"/>
      <c r="E1" s="539"/>
      <c r="F1" s="539"/>
      <c r="G1" s="79" t="str">
        <f>IF(FECHEALTHFLAG="No","",DATE)</f>
        <v>October 2018</v>
      </c>
    </row>
    <row r="2" spans="1:15" ht="15" customHeight="1" x14ac:dyDescent="0.2">
      <c r="E2" s="23"/>
      <c r="F2" s="23"/>
    </row>
    <row r="3" spans="1:15" ht="15.75" x14ac:dyDescent="0.25">
      <c r="A3" s="163" t="s">
        <v>121</v>
      </c>
      <c r="B3" s="163"/>
      <c r="C3" s="163"/>
      <c r="D3" s="163"/>
      <c r="L3" s="162" t="s">
        <v>285</v>
      </c>
    </row>
    <row r="4" spans="1:15" ht="58.5" hidden="1" customHeight="1" x14ac:dyDescent="0.2">
      <c r="A4" s="559" t="str">
        <f>J4</f>
        <v/>
      </c>
      <c r="B4" s="559"/>
      <c r="C4" s="559"/>
      <c r="D4" s="559"/>
      <c r="E4" s="559"/>
      <c r="F4" s="559"/>
      <c r="J4" s="512" t="str">
        <f>IF(NEWPROVFLAG="Yes","Sector-wide data has been used in the calculation of the student premium allocations for your provider. This is due to the unavailablilty to OfS of historic data for your provider.","")</f>
        <v/>
      </c>
      <c r="L4" s="510" t="s">
        <v>39</v>
      </c>
    </row>
    <row r="5" spans="1:15" ht="52.5" customHeight="1" thickBot="1" x14ac:dyDescent="0.25">
      <c r="A5" s="552" t="s">
        <v>278</v>
      </c>
      <c r="B5" s="552"/>
      <c r="C5" s="552"/>
      <c r="D5" s="552"/>
      <c r="E5" s="552"/>
      <c r="F5" s="164"/>
      <c r="G5" s="167"/>
      <c r="H5" s="168"/>
      <c r="I5" s="167"/>
      <c r="L5"/>
    </row>
    <row r="6" spans="1:15" ht="45" customHeight="1" x14ac:dyDescent="0.2">
      <c r="A6" s="169" t="s">
        <v>244</v>
      </c>
      <c r="B6" s="169" t="s">
        <v>245</v>
      </c>
      <c r="C6" s="170" t="s">
        <v>246</v>
      </c>
      <c r="D6" s="170" t="s">
        <v>247</v>
      </c>
      <c r="E6" s="171" t="str">
        <f>J7</f>
        <v>Full-time and sandwich year out UG headcount (2016-17 HESA/ILR)</v>
      </c>
      <c r="F6" s="164"/>
      <c r="G6" s="167"/>
      <c r="H6" s="172" t="s">
        <v>63</v>
      </c>
      <c r="I6" s="166"/>
      <c r="J6" s="173" t="s">
        <v>117</v>
      </c>
      <c r="K6" s="174"/>
      <c r="L6"/>
    </row>
    <row r="7" spans="1:15" ht="15" customHeight="1" x14ac:dyDescent="0.2">
      <c r="A7" s="175" t="s">
        <v>248</v>
      </c>
      <c r="B7" s="175" t="s">
        <v>249</v>
      </c>
      <c r="C7" s="176" t="s">
        <v>250</v>
      </c>
      <c r="D7" s="176">
        <v>1</v>
      </c>
      <c r="E7" s="177">
        <v>122443</v>
      </c>
      <c r="F7" s="178"/>
      <c r="G7" s="167"/>
      <c r="H7" s="180" t="s">
        <v>190</v>
      </c>
      <c r="I7" s="167"/>
      <c r="J7" s="162" t="str">
        <f>IF(HEIFLAG="No","Full-time and sandwich year out UG headcount (2016-17 ILR)",IF(HEIFLAG="Both","Full-time and sandwich year out UG headcount (2016-17 HESA/ILR)","Full-time and sandwich year out UG headcount (2016-17 HESA)"))</f>
        <v>Full-time and sandwich year out UG headcount (2016-17 HESA/ILR)</v>
      </c>
      <c r="K7" s="174"/>
      <c r="L7" s="181"/>
      <c r="M7" s="181"/>
    </row>
    <row r="8" spans="1:15" ht="15" customHeight="1" x14ac:dyDescent="0.2">
      <c r="A8" s="182"/>
      <c r="B8" s="183"/>
      <c r="C8" s="184" t="s">
        <v>251</v>
      </c>
      <c r="D8" s="184">
        <v>2</v>
      </c>
      <c r="E8" s="185">
        <v>166979</v>
      </c>
      <c r="F8" s="178"/>
      <c r="G8" s="167"/>
      <c r="H8" s="180" t="s">
        <v>191</v>
      </c>
      <c r="I8" s="167"/>
      <c r="J8" s="162" t="str">
        <f>IF(HEIFLAG="No","DSA-eligible headcount 
(2016-17 ILR)",IF(HEIFLAG="Both","DSA-eligible headcount (2016-17 HESA/ILR)","DSA-eligible headcount 
(2016-17 HESA)"))</f>
        <v>DSA-eligible headcount (2016-17 HESA/ILR)</v>
      </c>
      <c r="K8" s="174"/>
      <c r="L8" s="181"/>
      <c r="M8" s="181"/>
    </row>
    <row r="9" spans="1:15" ht="15" customHeight="1" x14ac:dyDescent="0.2">
      <c r="A9" s="182"/>
      <c r="B9" s="182" t="s">
        <v>252</v>
      </c>
      <c r="C9" s="186" t="s">
        <v>250</v>
      </c>
      <c r="D9" s="186">
        <v>1.5</v>
      </c>
      <c r="E9" s="187">
        <v>52343</v>
      </c>
      <c r="F9" s="178"/>
      <c r="G9" s="167"/>
      <c r="H9" s="180" t="s">
        <v>192</v>
      </c>
      <c r="I9" s="167"/>
      <c r="K9" s="174"/>
      <c r="L9" s="181"/>
      <c r="M9" s="181"/>
    </row>
    <row r="10" spans="1:15" ht="15" customHeight="1" x14ac:dyDescent="0.2">
      <c r="A10" s="188"/>
      <c r="B10" s="188"/>
      <c r="C10" s="189" t="s">
        <v>251</v>
      </c>
      <c r="D10" s="189">
        <v>2.5</v>
      </c>
      <c r="E10" s="190">
        <v>30598</v>
      </c>
      <c r="F10" s="178"/>
      <c r="G10" s="167"/>
      <c r="H10" s="180" t="s">
        <v>193</v>
      </c>
      <c r="I10" s="167"/>
      <c r="K10" s="174"/>
      <c r="L10" s="181"/>
      <c r="M10" s="181"/>
    </row>
    <row r="11" spans="1:15" ht="15" customHeight="1" x14ac:dyDescent="0.2">
      <c r="A11" s="182" t="s">
        <v>253</v>
      </c>
      <c r="B11" s="182" t="s">
        <v>249</v>
      </c>
      <c r="C11" s="186" t="s">
        <v>250</v>
      </c>
      <c r="D11" s="186">
        <v>1.5</v>
      </c>
      <c r="E11" s="187">
        <v>3631</v>
      </c>
      <c r="F11" s="178"/>
      <c r="G11" s="167"/>
      <c r="H11" s="180" t="s">
        <v>194</v>
      </c>
      <c r="I11" s="167"/>
      <c r="J11" s="162"/>
      <c r="K11" s="174"/>
      <c r="L11" s="181"/>
      <c r="M11" s="181"/>
    </row>
    <row r="12" spans="1:15" ht="15" customHeight="1" x14ac:dyDescent="0.2">
      <c r="A12" s="182"/>
      <c r="B12" s="183"/>
      <c r="C12" s="184" t="s">
        <v>251</v>
      </c>
      <c r="D12" s="184">
        <v>3</v>
      </c>
      <c r="E12" s="185">
        <v>17281</v>
      </c>
      <c r="F12" s="178"/>
      <c r="G12" s="167"/>
      <c r="H12" s="180" t="s">
        <v>195</v>
      </c>
      <c r="I12" s="167"/>
      <c r="J12" s="162"/>
      <c r="K12" s="174"/>
      <c r="L12" s="181"/>
      <c r="M12" s="181"/>
    </row>
    <row r="13" spans="1:15" ht="15" customHeight="1" x14ac:dyDescent="0.2">
      <c r="A13" s="182"/>
      <c r="B13" s="182" t="s">
        <v>252</v>
      </c>
      <c r="C13" s="186" t="s">
        <v>250</v>
      </c>
      <c r="D13" s="186">
        <v>1.5</v>
      </c>
      <c r="E13" s="187">
        <v>1311</v>
      </c>
      <c r="F13" s="178"/>
      <c r="G13" s="167"/>
      <c r="H13" s="180" t="s">
        <v>196</v>
      </c>
      <c r="I13" s="167"/>
      <c r="J13" s="162"/>
      <c r="K13" s="174"/>
      <c r="L13" s="181"/>
      <c r="M13" s="181"/>
    </row>
    <row r="14" spans="1:15" ht="15" customHeight="1" x14ac:dyDescent="0.2">
      <c r="A14" s="188"/>
      <c r="B14" s="189"/>
      <c r="C14" s="189" t="s">
        <v>251</v>
      </c>
      <c r="D14" s="189">
        <v>2.5</v>
      </c>
      <c r="E14" s="190">
        <v>10666</v>
      </c>
      <c r="F14" s="178"/>
      <c r="G14" s="167"/>
      <c r="H14" s="180" t="s">
        <v>197</v>
      </c>
      <c r="I14" s="167"/>
      <c r="J14" s="162"/>
      <c r="K14" s="174"/>
      <c r="L14" s="181"/>
      <c r="M14" s="181"/>
      <c r="N14" s="174"/>
      <c r="O14" s="174"/>
    </row>
    <row r="15" spans="1:15" ht="15" customHeight="1" x14ac:dyDescent="0.2">
      <c r="A15" s="182"/>
      <c r="B15" s="186"/>
      <c r="C15" s="186"/>
      <c r="D15" s="186"/>
      <c r="E15" s="187"/>
      <c r="F15" s="178"/>
      <c r="G15" s="167"/>
      <c r="H15" s="191"/>
      <c r="I15" s="167"/>
      <c r="J15" s="162"/>
      <c r="K15" s="174"/>
      <c r="L15" s="181"/>
      <c r="M15" s="181"/>
      <c r="N15" s="174"/>
      <c r="O15" s="174"/>
    </row>
    <row r="16" spans="1:15" s="174" customFormat="1" ht="15" customHeight="1" x14ac:dyDescent="0.2">
      <c r="A16" s="560" t="s">
        <v>112</v>
      </c>
      <c r="B16" s="560"/>
      <c r="C16" s="560"/>
      <c r="D16" s="560"/>
      <c r="E16" s="192">
        <v>697331.5</v>
      </c>
      <c r="F16" s="193"/>
      <c r="G16" s="166"/>
      <c r="H16" s="180" t="s">
        <v>81</v>
      </c>
      <c r="I16" s="166"/>
      <c r="L16"/>
      <c r="N16" s="162"/>
      <c r="O16" s="162"/>
    </row>
    <row r="17" spans="1:13" ht="15" customHeight="1" x14ac:dyDescent="0.2">
      <c r="A17" s="544" t="s">
        <v>254</v>
      </c>
      <c r="B17" s="544"/>
      <c r="C17" s="544"/>
      <c r="D17" s="544"/>
      <c r="E17" s="187">
        <v>903365</v>
      </c>
      <c r="F17" s="178"/>
      <c r="G17" s="167"/>
      <c r="H17" s="180" t="s">
        <v>82</v>
      </c>
      <c r="I17" s="167"/>
      <c r="J17" s="162"/>
      <c r="K17" s="174"/>
      <c r="L17"/>
    </row>
    <row r="18" spans="1:13" ht="15" customHeight="1" x14ac:dyDescent="0.2">
      <c r="A18" s="561" t="s">
        <v>270</v>
      </c>
      <c r="B18" s="561"/>
      <c r="C18" s="561"/>
      <c r="D18" s="561"/>
      <c r="E18" s="194">
        <v>0.77192662987828842</v>
      </c>
      <c r="F18" s="178"/>
      <c r="G18" s="196"/>
      <c r="H18" s="197" t="s">
        <v>208</v>
      </c>
      <c r="I18" s="196"/>
      <c r="J18" s="162"/>
      <c r="K18" s="174"/>
      <c r="L18"/>
    </row>
    <row r="19" spans="1:13" ht="15" customHeight="1" x14ac:dyDescent="0.2">
      <c r="A19" s="562" t="s">
        <v>271</v>
      </c>
      <c r="B19" s="562"/>
      <c r="C19" s="562"/>
      <c r="D19" s="562"/>
      <c r="E19" s="198">
        <v>985846.5</v>
      </c>
      <c r="F19" s="199"/>
      <c r="G19" s="167"/>
      <c r="H19" s="180" t="s">
        <v>83</v>
      </c>
      <c r="I19" s="167"/>
      <c r="J19" s="162"/>
      <c r="K19" s="174"/>
      <c r="L19"/>
    </row>
    <row r="20" spans="1:13" ht="15" customHeight="1" x14ac:dyDescent="0.2">
      <c r="A20" s="547" t="s">
        <v>15</v>
      </c>
      <c r="B20" s="547"/>
      <c r="C20" s="547"/>
      <c r="D20" s="547"/>
      <c r="E20" s="200" t="s">
        <v>293</v>
      </c>
      <c r="F20" s="178"/>
      <c r="G20" s="167"/>
      <c r="H20" s="180" t="s">
        <v>21</v>
      </c>
      <c r="I20" s="167"/>
      <c r="J20" s="162"/>
      <c r="K20" s="174"/>
      <c r="L20" s="181"/>
      <c r="M20" s="181"/>
    </row>
    <row r="21" spans="1:13" ht="15" customHeight="1" x14ac:dyDescent="0.2">
      <c r="A21" s="545" t="s">
        <v>18</v>
      </c>
      <c r="B21" s="545"/>
      <c r="C21" s="545"/>
      <c r="D21" s="545"/>
      <c r="E21" s="194">
        <v>768271.3586909303</v>
      </c>
      <c r="F21" s="178"/>
      <c r="G21" s="167"/>
      <c r="H21" s="180" t="s">
        <v>80</v>
      </c>
      <c r="I21" s="167"/>
      <c r="J21" s="162"/>
      <c r="K21" s="174"/>
      <c r="L21"/>
    </row>
    <row r="22" spans="1:13" ht="15" customHeight="1" x14ac:dyDescent="0.2">
      <c r="A22" s="549" t="s">
        <v>19</v>
      </c>
      <c r="B22" s="549"/>
      <c r="C22" s="549"/>
      <c r="D22" s="549"/>
      <c r="E22" s="202">
        <v>189.11561</v>
      </c>
      <c r="F22" s="178"/>
      <c r="G22" s="167"/>
      <c r="H22" s="180" t="s">
        <v>84</v>
      </c>
      <c r="I22" s="167"/>
      <c r="J22" s="162"/>
      <c r="K22" s="174"/>
      <c r="L22"/>
    </row>
    <row r="23" spans="1:13" ht="15" customHeight="1" x14ac:dyDescent="0.2">
      <c r="A23" s="550" t="s">
        <v>57</v>
      </c>
      <c r="B23" s="550"/>
      <c r="C23" s="550"/>
      <c r="D23" s="550"/>
      <c r="E23" s="203">
        <v>145454119</v>
      </c>
      <c r="F23" s="178"/>
      <c r="G23" s="167"/>
      <c r="H23" s="180" t="s">
        <v>213</v>
      </c>
      <c r="I23" s="167"/>
      <c r="K23" s="174"/>
      <c r="L23" s="162" t="s">
        <v>231</v>
      </c>
    </row>
    <row r="24" spans="1:13" ht="15" customHeight="1" thickBot="1" x14ac:dyDescent="0.25">
      <c r="A24" s="551" t="s">
        <v>261</v>
      </c>
      <c r="B24" s="551"/>
      <c r="C24" s="551"/>
      <c r="D24" s="551"/>
      <c r="E24" s="205">
        <v>8607262</v>
      </c>
      <c r="F24" s="178"/>
      <c r="G24" s="167"/>
      <c r="H24" s="180" t="s">
        <v>214</v>
      </c>
      <c r="I24" s="167"/>
      <c r="K24" s="174"/>
      <c r="L24" s="206" t="s">
        <v>37</v>
      </c>
    </row>
    <row r="25" spans="1:13" ht="15" customHeight="1" x14ac:dyDescent="0.2">
      <c r="A25" s="207"/>
      <c r="B25" s="207"/>
      <c r="C25" s="207"/>
      <c r="D25" s="207"/>
      <c r="E25" s="208"/>
      <c r="F25" s="164"/>
      <c r="G25" s="167"/>
      <c r="H25" s="191"/>
      <c r="I25" s="167"/>
      <c r="J25" s="162"/>
      <c r="K25" s="174"/>
      <c r="L25"/>
    </row>
    <row r="26" spans="1:13" ht="15" customHeight="1" x14ac:dyDescent="0.2">
      <c r="A26" s="209"/>
      <c r="B26" s="209"/>
      <c r="C26" s="209"/>
      <c r="D26" s="209"/>
      <c r="E26" s="204"/>
      <c r="F26" s="164"/>
      <c r="G26" s="167"/>
      <c r="H26" s="191"/>
      <c r="I26" s="167"/>
      <c r="J26" s="162"/>
      <c r="K26" s="174"/>
      <c r="L26"/>
    </row>
    <row r="27" spans="1:13" ht="15" customHeight="1" x14ac:dyDescent="0.2">
      <c r="A27" s="165"/>
      <c r="B27" s="165"/>
      <c r="C27" s="165"/>
      <c r="D27" s="165"/>
      <c r="E27" s="204"/>
      <c r="F27" s="164"/>
      <c r="G27" s="167"/>
      <c r="H27" s="210"/>
      <c r="I27" s="167"/>
      <c r="J27" s="162"/>
      <c r="K27" s="174"/>
      <c r="L27"/>
    </row>
    <row r="28" spans="1:13" ht="14.25" thickBot="1" x14ac:dyDescent="0.25">
      <c r="A28" s="543" t="s">
        <v>279</v>
      </c>
      <c r="B28" s="543"/>
      <c r="C28" s="543"/>
      <c r="D28" s="543"/>
      <c r="E28" s="543"/>
      <c r="F28" s="164"/>
      <c r="G28" s="167"/>
      <c r="H28" s="168"/>
      <c r="I28" s="167"/>
      <c r="J28" s="162"/>
      <c r="K28" s="174"/>
      <c r="L28"/>
    </row>
    <row r="29" spans="1:13" ht="44.25" customHeight="1" x14ac:dyDescent="0.2">
      <c r="A29" s="169" t="s">
        <v>244</v>
      </c>
      <c r="B29" s="169" t="s">
        <v>245</v>
      </c>
      <c r="C29" s="170" t="s">
        <v>246</v>
      </c>
      <c r="D29" s="170" t="s">
        <v>255</v>
      </c>
      <c r="E29" s="171" t="str">
        <f>J7</f>
        <v>Full-time and sandwich year out UG headcount (2016-17 HESA/ILR)</v>
      </c>
      <c r="F29" s="164"/>
      <c r="G29" s="167"/>
      <c r="H29" s="168"/>
      <c r="I29" s="167"/>
      <c r="J29" s="162"/>
      <c r="K29" s="174"/>
      <c r="L29"/>
    </row>
    <row r="30" spans="1:13" ht="15" customHeight="1" x14ac:dyDescent="0.2">
      <c r="A30" s="175" t="s">
        <v>248</v>
      </c>
      <c r="B30" s="175" t="s">
        <v>249</v>
      </c>
      <c r="C30" s="176" t="s">
        <v>250</v>
      </c>
      <c r="D30" s="176" t="s">
        <v>256</v>
      </c>
      <c r="E30" s="187">
        <v>34485</v>
      </c>
      <c r="F30" s="178"/>
      <c r="G30" s="167"/>
      <c r="H30" s="180" t="s">
        <v>200</v>
      </c>
      <c r="I30" s="167"/>
      <c r="J30" s="162"/>
      <c r="K30" s="174"/>
      <c r="L30"/>
    </row>
    <row r="31" spans="1:13" ht="15" customHeight="1" x14ac:dyDescent="0.2">
      <c r="A31" s="182"/>
      <c r="B31" s="183"/>
      <c r="C31" s="184" t="s">
        <v>251</v>
      </c>
      <c r="D31" s="184" t="s">
        <v>256</v>
      </c>
      <c r="E31" s="185">
        <v>63661</v>
      </c>
      <c r="F31" s="178"/>
      <c r="G31" s="167"/>
      <c r="H31" s="180" t="s">
        <v>201</v>
      </c>
      <c r="I31" s="167"/>
      <c r="J31" s="162"/>
      <c r="K31" s="174"/>
      <c r="L31"/>
    </row>
    <row r="32" spans="1:13" ht="15" customHeight="1" x14ac:dyDescent="0.2">
      <c r="A32" s="182"/>
      <c r="B32" s="182" t="s">
        <v>252</v>
      </c>
      <c r="C32" s="186" t="s">
        <v>250</v>
      </c>
      <c r="D32" s="186" t="s">
        <v>256</v>
      </c>
      <c r="E32" s="187">
        <v>21951</v>
      </c>
      <c r="F32" s="178"/>
      <c r="G32" s="167"/>
      <c r="H32" s="180" t="s">
        <v>202</v>
      </c>
      <c r="I32" s="167"/>
      <c r="J32" s="162"/>
      <c r="K32" s="174"/>
      <c r="L32"/>
    </row>
    <row r="33" spans="1:15" ht="15" customHeight="1" x14ac:dyDescent="0.2">
      <c r="A33" s="188"/>
      <c r="B33" s="188"/>
      <c r="C33" s="189" t="s">
        <v>251</v>
      </c>
      <c r="D33" s="189" t="s">
        <v>256</v>
      </c>
      <c r="E33" s="190">
        <v>13230</v>
      </c>
      <c r="F33" s="178"/>
      <c r="G33" s="167"/>
      <c r="H33" s="180" t="s">
        <v>203</v>
      </c>
      <c r="I33" s="167"/>
      <c r="J33" s="162"/>
      <c r="K33" s="174"/>
      <c r="L33"/>
    </row>
    <row r="34" spans="1:15" ht="15" customHeight="1" x14ac:dyDescent="0.2">
      <c r="A34" s="182" t="s">
        <v>253</v>
      </c>
      <c r="B34" s="182" t="s">
        <v>249</v>
      </c>
      <c r="C34" s="186" t="s">
        <v>250</v>
      </c>
      <c r="D34" s="186" t="s">
        <v>256</v>
      </c>
      <c r="E34" s="187">
        <v>1197</v>
      </c>
      <c r="F34" s="178"/>
      <c r="G34" s="167"/>
      <c r="H34" s="180" t="s">
        <v>204</v>
      </c>
      <c r="I34" s="167"/>
      <c r="J34" s="162"/>
      <c r="K34" s="174"/>
      <c r="L34"/>
    </row>
    <row r="35" spans="1:15" ht="15" customHeight="1" x14ac:dyDescent="0.2">
      <c r="A35" s="182"/>
      <c r="B35" s="183"/>
      <c r="C35" s="184" t="s">
        <v>251</v>
      </c>
      <c r="D35" s="184" t="s">
        <v>256</v>
      </c>
      <c r="E35" s="185">
        <v>7530</v>
      </c>
      <c r="F35" s="178"/>
      <c r="G35" s="167"/>
      <c r="H35" s="180" t="s">
        <v>205</v>
      </c>
      <c r="I35" s="167"/>
      <c r="J35" s="162"/>
      <c r="K35" s="174"/>
      <c r="L35"/>
    </row>
    <row r="36" spans="1:15" ht="15" customHeight="1" x14ac:dyDescent="0.2">
      <c r="A36" s="182"/>
      <c r="B36" s="182" t="s">
        <v>252</v>
      </c>
      <c r="C36" s="186" t="s">
        <v>250</v>
      </c>
      <c r="D36" s="186" t="s">
        <v>256</v>
      </c>
      <c r="E36" s="187">
        <v>549</v>
      </c>
      <c r="F36" s="178"/>
      <c r="G36" s="167"/>
      <c r="H36" s="180" t="s">
        <v>206</v>
      </c>
      <c r="I36" s="167"/>
      <c r="J36" s="162"/>
      <c r="K36" s="174"/>
      <c r="L36"/>
    </row>
    <row r="37" spans="1:15" ht="15" customHeight="1" x14ac:dyDescent="0.2">
      <c r="A37" s="188"/>
      <c r="B37" s="189"/>
      <c r="C37" s="189" t="s">
        <v>251</v>
      </c>
      <c r="D37" s="189" t="s">
        <v>256</v>
      </c>
      <c r="E37" s="190">
        <v>4812</v>
      </c>
      <c r="F37" s="178"/>
      <c r="G37" s="167"/>
      <c r="H37" s="180" t="s">
        <v>207</v>
      </c>
      <c r="I37" s="167"/>
      <c r="J37" s="162"/>
      <c r="K37" s="174"/>
      <c r="L37"/>
    </row>
    <row r="38" spans="1:15" ht="15" customHeight="1" x14ac:dyDescent="0.2">
      <c r="A38" s="182"/>
      <c r="B38" s="186"/>
      <c r="C38" s="186"/>
      <c r="D38" s="186"/>
      <c r="E38" s="187"/>
      <c r="F38" s="178"/>
      <c r="G38" s="167"/>
      <c r="H38" s="191"/>
      <c r="I38" s="167"/>
      <c r="J38" s="162"/>
      <c r="K38" s="174"/>
      <c r="L38"/>
    </row>
    <row r="39" spans="1:15" ht="15" customHeight="1" x14ac:dyDescent="0.2">
      <c r="A39" s="555" t="s">
        <v>288</v>
      </c>
      <c r="B39" s="555"/>
      <c r="C39" s="555"/>
      <c r="D39" s="555"/>
      <c r="E39" s="177">
        <v>147415</v>
      </c>
      <c r="F39" s="178"/>
      <c r="G39" s="167"/>
      <c r="H39" s="180" t="s">
        <v>85</v>
      </c>
      <c r="I39" s="167"/>
      <c r="J39" s="162"/>
      <c r="K39" s="174"/>
      <c r="L39"/>
    </row>
    <row r="40" spans="1:15" ht="15" customHeight="1" x14ac:dyDescent="0.2">
      <c r="A40" s="544" t="s">
        <v>254</v>
      </c>
      <c r="B40" s="544"/>
      <c r="C40" s="544"/>
      <c r="D40" s="544"/>
      <c r="E40" s="187">
        <v>903365</v>
      </c>
      <c r="F40" s="178"/>
      <c r="G40" s="167"/>
      <c r="H40" s="180" t="s">
        <v>86</v>
      </c>
      <c r="I40" s="167"/>
      <c r="J40" s="162"/>
      <c r="K40" s="174"/>
      <c r="L40"/>
    </row>
    <row r="41" spans="1:15" ht="15" customHeight="1" x14ac:dyDescent="0.2">
      <c r="A41" s="544" t="s">
        <v>272</v>
      </c>
      <c r="B41" s="544"/>
      <c r="C41" s="544"/>
      <c r="D41" s="544"/>
      <c r="E41" s="201">
        <v>0.1708117716036365</v>
      </c>
      <c r="F41" s="211"/>
      <c r="G41" s="167"/>
      <c r="H41" s="180" t="s">
        <v>209</v>
      </c>
      <c r="I41" s="167"/>
      <c r="J41" s="162"/>
      <c r="K41" s="174"/>
      <c r="L41"/>
    </row>
    <row r="42" spans="1:15" s="174" customFormat="1" ht="15" customHeight="1" x14ac:dyDescent="0.2">
      <c r="A42" s="545" t="s">
        <v>113</v>
      </c>
      <c r="B42" s="545"/>
      <c r="C42" s="545"/>
      <c r="D42" s="545"/>
      <c r="E42" s="194">
        <v>0.46957102103528747</v>
      </c>
      <c r="F42" s="211"/>
      <c r="G42" s="196"/>
      <c r="H42" s="180" t="s">
        <v>210</v>
      </c>
      <c r="I42" s="166"/>
      <c r="L42"/>
      <c r="N42" s="162"/>
      <c r="O42" s="162"/>
    </row>
    <row r="43" spans="1:15" ht="15" customHeight="1" x14ac:dyDescent="0.2">
      <c r="A43" s="546" t="s">
        <v>271</v>
      </c>
      <c r="B43" s="546"/>
      <c r="C43" s="546"/>
      <c r="D43" s="546"/>
      <c r="E43" s="212">
        <v>985846.5</v>
      </c>
      <c r="F43" s="199"/>
      <c r="G43" s="167"/>
      <c r="H43" s="180" t="s">
        <v>83</v>
      </c>
      <c r="I43" s="167"/>
      <c r="J43" s="162"/>
      <c r="K43" s="174"/>
      <c r="L43"/>
    </row>
    <row r="44" spans="1:15" ht="15" customHeight="1" x14ac:dyDescent="0.2">
      <c r="A44" s="547" t="s">
        <v>15</v>
      </c>
      <c r="B44" s="547"/>
      <c r="C44" s="547"/>
      <c r="D44" s="547"/>
      <c r="E44" s="201" t="s">
        <v>293</v>
      </c>
      <c r="F44" s="211"/>
      <c r="G44" s="167"/>
      <c r="H44" s="180" t="s">
        <v>21</v>
      </c>
      <c r="I44" s="167"/>
      <c r="J44" s="162"/>
      <c r="K44" s="174"/>
      <c r="L44"/>
    </row>
    <row r="45" spans="1:15" ht="15" customHeight="1" x14ac:dyDescent="0.2">
      <c r="A45" s="545" t="s">
        <v>18</v>
      </c>
      <c r="B45" s="545"/>
      <c r="C45" s="545"/>
      <c r="D45" s="545"/>
      <c r="E45" s="194">
        <v>100940.82755710559</v>
      </c>
      <c r="F45" s="211"/>
      <c r="G45" s="167"/>
      <c r="H45" s="180" t="s">
        <v>87</v>
      </c>
      <c r="I45" s="167"/>
      <c r="J45" s="162"/>
      <c r="K45" s="174"/>
      <c r="L45"/>
    </row>
    <row r="46" spans="1:15" ht="15" customHeight="1" x14ac:dyDescent="0.2">
      <c r="A46" s="548" t="s">
        <v>19</v>
      </c>
      <c r="B46" s="548"/>
      <c r="C46" s="548"/>
      <c r="D46" s="548"/>
      <c r="E46" s="202">
        <v>193.23869999999999</v>
      </c>
      <c r="F46" s="211"/>
      <c r="G46" s="167"/>
      <c r="H46" s="180" t="s">
        <v>88</v>
      </c>
      <c r="I46" s="167"/>
      <c r="J46" s="162"/>
      <c r="K46" s="174"/>
      <c r="L46"/>
    </row>
    <row r="47" spans="1:15" ht="15" customHeight="1" x14ac:dyDescent="0.2">
      <c r="A47" s="550" t="s">
        <v>58</v>
      </c>
      <c r="B47" s="550"/>
      <c r="C47" s="550"/>
      <c r="D47" s="550"/>
      <c r="E47" s="203">
        <v>19527071</v>
      </c>
      <c r="F47" s="178"/>
      <c r="G47" s="167"/>
      <c r="H47" s="180" t="s">
        <v>215</v>
      </c>
      <c r="I47" s="167"/>
      <c r="K47" s="174"/>
      <c r="L47" s="162" t="s">
        <v>231</v>
      </c>
    </row>
    <row r="48" spans="1:15" ht="15" customHeight="1" thickBot="1" x14ac:dyDescent="0.25">
      <c r="A48" s="551" t="s">
        <v>261</v>
      </c>
      <c r="B48" s="551"/>
      <c r="C48" s="551"/>
      <c r="D48" s="551"/>
      <c r="E48" s="205">
        <v>1306975</v>
      </c>
      <c r="F48" s="178"/>
      <c r="G48" s="167"/>
      <c r="H48" s="180" t="s">
        <v>216</v>
      </c>
      <c r="I48" s="167"/>
      <c r="K48" s="174"/>
      <c r="L48" s="206" t="s">
        <v>37</v>
      </c>
    </row>
    <row r="49" spans="1:15" ht="15" customHeight="1" x14ac:dyDescent="0.2">
      <c r="A49" s="213"/>
      <c r="B49" s="213"/>
      <c r="C49" s="213"/>
      <c r="D49" s="213"/>
      <c r="E49" s="214"/>
      <c r="F49" s="164"/>
      <c r="G49" s="167"/>
      <c r="H49" s="168"/>
      <c r="I49" s="167"/>
      <c r="L49" s="161"/>
      <c r="M49" s="181"/>
    </row>
    <row r="50" spans="1:15" ht="15" customHeight="1" x14ac:dyDescent="0.2">
      <c r="A50" s="215"/>
      <c r="B50" s="215"/>
      <c r="C50" s="215"/>
      <c r="D50" s="215"/>
      <c r="E50" s="195"/>
      <c r="F50" s="164"/>
      <c r="G50" s="167"/>
      <c r="H50" s="168"/>
      <c r="I50" s="167"/>
      <c r="L50" s="161"/>
      <c r="M50" s="181"/>
    </row>
    <row r="51" spans="1:15" ht="15" customHeight="1" x14ac:dyDescent="0.2">
      <c r="A51" s="215"/>
      <c r="B51" s="215"/>
      <c r="C51" s="215"/>
      <c r="D51" s="215"/>
      <c r="E51" s="195"/>
      <c r="F51" s="164"/>
      <c r="G51" s="167"/>
      <c r="H51" s="168"/>
      <c r="I51" s="167"/>
      <c r="L51" s="161"/>
      <c r="M51" s="181"/>
    </row>
    <row r="52" spans="1:15" ht="15" customHeight="1" thickBot="1" x14ac:dyDescent="0.25">
      <c r="A52" s="552" t="s">
        <v>280</v>
      </c>
      <c r="B52" s="552"/>
      <c r="C52" s="552"/>
      <c r="D52" s="552"/>
      <c r="E52" s="552"/>
      <c r="F52" s="164"/>
      <c r="G52" s="167"/>
      <c r="H52" s="168"/>
      <c r="I52" s="167"/>
      <c r="L52" s="161"/>
      <c r="M52" s="181"/>
    </row>
    <row r="53" spans="1:15" ht="15" customHeight="1" x14ac:dyDescent="0.2">
      <c r="A53" s="553" t="s">
        <v>275</v>
      </c>
      <c r="B53" s="553"/>
      <c r="C53" s="553"/>
      <c r="D53" s="553"/>
      <c r="E53" s="216">
        <v>66165</v>
      </c>
      <c r="F53" s="164"/>
      <c r="G53" s="167"/>
      <c r="H53" s="180" t="s">
        <v>198</v>
      </c>
      <c r="I53" s="167"/>
      <c r="K53" s="174"/>
      <c r="L53"/>
      <c r="M53" s="181"/>
    </row>
    <row r="54" spans="1:15" ht="15" customHeight="1" x14ac:dyDescent="0.2">
      <c r="A54" s="546" t="s">
        <v>15</v>
      </c>
      <c r="B54" s="546"/>
      <c r="C54" s="546"/>
      <c r="D54" s="546"/>
      <c r="E54" s="201" t="s">
        <v>293</v>
      </c>
      <c r="F54" s="178"/>
      <c r="G54" s="167"/>
      <c r="H54" s="180" t="s">
        <v>21</v>
      </c>
      <c r="I54" s="167"/>
      <c r="K54" s="174"/>
      <c r="L54"/>
      <c r="M54" s="181"/>
    </row>
    <row r="55" spans="1:15" ht="15" customHeight="1" x14ac:dyDescent="0.2">
      <c r="A55" s="554" t="s">
        <v>19</v>
      </c>
      <c r="B55" s="554"/>
      <c r="C55" s="554"/>
      <c r="D55" s="554"/>
      <c r="E55" s="202">
        <v>1069.7212099999999</v>
      </c>
      <c r="F55" s="178"/>
      <c r="G55" s="167"/>
      <c r="H55" s="180" t="s">
        <v>199</v>
      </c>
      <c r="I55" s="167"/>
      <c r="K55" s="174"/>
      <c r="L55"/>
      <c r="M55" s="181"/>
    </row>
    <row r="56" spans="1:15" ht="15" customHeight="1" x14ac:dyDescent="0.2">
      <c r="A56" s="550" t="s">
        <v>20</v>
      </c>
      <c r="B56" s="550"/>
      <c r="C56" s="550"/>
      <c r="D56" s="550"/>
      <c r="E56" s="217">
        <v>71510308</v>
      </c>
      <c r="F56" s="164"/>
      <c r="G56" s="167"/>
      <c r="H56" s="180" t="s">
        <v>96</v>
      </c>
      <c r="I56" s="167"/>
      <c r="K56" s="174"/>
      <c r="L56" s="162" t="s">
        <v>231</v>
      </c>
    </row>
    <row r="57" spans="1:15" ht="15" customHeight="1" thickBot="1" x14ac:dyDescent="0.25">
      <c r="A57" s="551" t="s">
        <v>261</v>
      </c>
      <c r="B57" s="551"/>
      <c r="C57" s="551"/>
      <c r="D57" s="551"/>
      <c r="E57" s="218">
        <v>442971</v>
      </c>
      <c r="F57" s="164"/>
      <c r="G57" s="167"/>
      <c r="H57" s="180" t="s">
        <v>217</v>
      </c>
      <c r="I57" s="167"/>
      <c r="K57" s="174"/>
      <c r="L57" s="206" t="s">
        <v>37</v>
      </c>
    </row>
    <row r="58" spans="1:15" ht="15" customHeight="1" x14ac:dyDescent="0.2">
      <c r="A58" s="219"/>
      <c r="B58" s="219"/>
      <c r="C58" s="219"/>
      <c r="D58" s="219"/>
      <c r="E58" s="208"/>
      <c r="F58" s="164"/>
      <c r="G58" s="167"/>
      <c r="H58" s="168"/>
      <c r="I58" s="167"/>
      <c r="J58" s="162"/>
      <c r="K58" s="174"/>
      <c r="L58" s="179"/>
    </row>
    <row r="59" spans="1:15" ht="15" customHeight="1" x14ac:dyDescent="0.2">
      <c r="A59" s="165"/>
      <c r="B59" s="165"/>
      <c r="C59" s="165"/>
      <c r="D59" s="165"/>
      <c r="E59" s="204"/>
      <c r="F59" s="164"/>
      <c r="G59" s="167"/>
      <c r="H59" s="168"/>
      <c r="I59" s="167"/>
      <c r="J59" s="162"/>
      <c r="K59" s="174"/>
      <c r="L59" s="179"/>
    </row>
    <row r="60" spans="1:15" ht="15" customHeight="1" x14ac:dyDescent="0.2">
      <c r="A60" s="165"/>
      <c r="B60" s="165"/>
      <c r="C60" s="165"/>
      <c r="D60" s="165"/>
      <c r="E60" s="204"/>
      <c r="F60" s="164"/>
      <c r="G60" s="167"/>
      <c r="H60" s="168"/>
      <c r="I60" s="167"/>
      <c r="J60" s="162"/>
      <c r="K60" s="174"/>
      <c r="L60" s="179"/>
    </row>
    <row r="61" spans="1:15" ht="15" customHeight="1" thickBot="1" x14ac:dyDescent="0.25">
      <c r="A61" s="552" t="s">
        <v>56</v>
      </c>
      <c r="B61" s="552"/>
      <c r="C61" s="552"/>
      <c r="D61" s="552"/>
      <c r="E61" s="552"/>
      <c r="F61" s="164"/>
      <c r="G61" s="167"/>
      <c r="H61" s="168"/>
      <c r="I61" s="167"/>
      <c r="L61" s="179"/>
      <c r="M61" s="159"/>
    </row>
    <row r="62" spans="1:15" ht="43.5" customHeight="1" x14ac:dyDescent="0.2">
      <c r="A62" s="220"/>
      <c r="B62" s="221"/>
      <c r="C62" s="222" t="s">
        <v>257</v>
      </c>
      <c r="D62" s="222" t="s">
        <v>247</v>
      </c>
      <c r="E62" s="223" t="str">
        <f>J8</f>
        <v>DSA-eligible headcount (2016-17 HESA/ILR)</v>
      </c>
      <c r="F62" s="164"/>
      <c r="G62" s="167"/>
      <c r="H62" s="168"/>
      <c r="I62" s="167"/>
      <c r="L62" s="179"/>
      <c r="M62" s="159"/>
      <c r="N62" s="224" t="s">
        <v>22</v>
      </c>
      <c r="O62" s="224" t="s">
        <v>23</v>
      </c>
    </row>
    <row r="63" spans="1:15" ht="15" customHeight="1" x14ac:dyDescent="0.2">
      <c r="A63" s="555" t="s">
        <v>258</v>
      </c>
      <c r="B63" s="555"/>
      <c r="C63" s="555"/>
      <c r="D63" s="186">
        <v>2</v>
      </c>
      <c r="E63" s="187">
        <v>69086</v>
      </c>
      <c r="F63" s="178"/>
      <c r="G63" s="167"/>
      <c r="H63" s="191"/>
      <c r="I63" s="167" t="s">
        <v>89</v>
      </c>
      <c r="J63" s="225">
        <v>68984</v>
      </c>
      <c r="K63" s="174"/>
      <c r="L63"/>
      <c r="M63" s="159"/>
      <c r="N63" s="224">
        <v>0</v>
      </c>
      <c r="O63" s="224">
        <v>500</v>
      </c>
    </row>
    <row r="64" spans="1:15" ht="15" customHeight="1" x14ac:dyDescent="0.2">
      <c r="A64" s="557" t="s">
        <v>259</v>
      </c>
      <c r="B64" s="557"/>
      <c r="C64" s="557"/>
      <c r="D64" s="189">
        <v>1</v>
      </c>
      <c r="E64" s="190">
        <v>100390</v>
      </c>
      <c r="F64" s="178"/>
      <c r="G64" s="167"/>
      <c r="H64" s="191"/>
      <c r="I64" s="167" t="s">
        <v>90</v>
      </c>
      <c r="J64" s="225">
        <v>100157</v>
      </c>
      <c r="K64" s="174"/>
      <c r="L64"/>
      <c r="M64" s="159"/>
      <c r="N64" s="224">
        <v>50</v>
      </c>
      <c r="O64" s="224">
        <v>1000</v>
      </c>
    </row>
    <row r="65" spans="1:18" ht="15" customHeight="1" x14ac:dyDescent="0.2">
      <c r="A65" s="186"/>
      <c r="B65" s="186"/>
      <c r="C65" s="186"/>
      <c r="D65" s="186"/>
      <c r="E65" s="187"/>
      <c r="F65" s="178"/>
      <c r="G65" s="167"/>
      <c r="H65" s="191"/>
      <c r="I65" s="167"/>
      <c r="J65" s="174"/>
      <c r="K65" s="174"/>
      <c r="L65"/>
      <c r="M65" s="159"/>
      <c r="N65" s="224">
        <v>250</v>
      </c>
      <c r="O65" s="224">
        <v>5000</v>
      </c>
    </row>
    <row r="66" spans="1:18" ht="15" customHeight="1" x14ac:dyDescent="0.2">
      <c r="A66" s="555" t="s">
        <v>114</v>
      </c>
      <c r="B66" s="555"/>
      <c r="C66" s="555"/>
      <c r="D66" s="555"/>
      <c r="E66" s="177">
        <v>238562</v>
      </c>
      <c r="F66" s="178"/>
      <c r="G66" s="167"/>
      <c r="H66" s="191"/>
      <c r="I66" s="167" t="s">
        <v>118</v>
      </c>
      <c r="J66" s="225">
        <v>238125</v>
      </c>
      <c r="K66" s="174"/>
      <c r="L66"/>
      <c r="M66" s="159"/>
      <c r="N66" s="224">
        <v>500</v>
      </c>
      <c r="O66" s="224">
        <v>10000</v>
      </c>
    </row>
    <row r="67" spans="1:18" ht="15" customHeight="1" x14ac:dyDescent="0.2">
      <c r="A67" s="544" t="s">
        <v>254</v>
      </c>
      <c r="B67" s="544"/>
      <c r="C67" s="544"/>
      <c r="D67" s="544"/>
      <c r="E67" s="187">
        <v>1215125</v>
      </c>
      <c r="F67" s="178"/>
      <c r="G67" s="167"/>
      <c r="H67" s="191"/>
      <c r="I67" s="167" t="s">
        <v>91</v>
      </c>
      <c r="J67" s="225">
        <v>1213369</v>
      </c>
      <c r="K67" s="174"/>
      <c r="L67"/>
      <c r="M67" s="159"/>
    </row>
    <row r="68" spans="1:18" ht="15" customHeight="1" x14ac:dyDescent="0.2">
      <c r="A68" s="556" t="s">
        <v>115</v>
      </c>
      <c r="B68" s="556"/>
      <c r="C68" s="556"/>
      <c r="D68" s="556"/>
      <c r="E68" s="226">
        <v>0.1963271268388026</v>
      </c>
      <c r="F68" s="227"/>
      <c r="G68" s="196"/>
      <c r="H68" s="180" t="s">
        <v>211</v>
      </c>
      <c r="I68" s="196"/>
      <c r="J68" s="174"/>
      <c r="K68" s="174"/>
      <c r="L68"/>
      <c r="M68" s="159"/>
    </row>
    <row r="69" spans="1:18" ht="15" customHeight="1" x14ac:dyDescent="0.2">
      <c r="A69" s="547" t="s">
        <v>260</v>
      </c>
      <c r="B69" s="547"/>
      <c r="C69" s="547"/>
      <c r="D69" s="547"/>
      <c r="E69" s="201">
        <v>1147863.1599999999</v>
      </c>
      <c r="F69" s="178"/>
      <c r="G69" s="167"/>
      <c r="H69" s="180" t="s">
        <v>22</v>
      </c>
      <c r="I69" s="167"/>
      <c r="J69" s="174"/>
      <c r="K69" s="174"/>
      <c r="L69"/>
      <c r="M69" s="161"/>
      <c r="N69" s="161"/>
      <c r="O69" s="161"/>
      <c r="R69" s="228"/>
    </row>
    <row r="70" spans="1:18" ht="15" customHeight="1" x14ac:dyDescent="0.2">
      <c r="A70" s="547" t="s">
        <v>15</v>
      </c>
      <c r="B70" s="547"/>
      <c r="C70" s="547"/>
      <c r="D70" s="547"/>
      <c r="E70" s="201" t="s">
        <v>293</v>
      </c>
      <c r="F70" s="178"/>
      <c r="G70" s="167"/>
      <c r="H70" s="180" t="s">
        <v>21</v>
      </c>
      <c r="I70" s="167"/>
      <c r="J70" s="174"/>
      <c r="K70" s="174"/>
      <c r="L70" s="181"/>
      <c r="M70" s="159"/>
      <c r="N70" s="161"/>
      <c r="O70" s="161"/>
      <c r="R70" s="228"/>
    </row>
    <row r="71" spans="1:18" ht="15" customHeight="1" x14ac:dyDescent="0.2">
      <c r="A71" s="545" t="s">
        <v>18</v>
      </c>
      <c r="B71" s="545"/>
      <c r="C71" s="545"/>
      <c r="D71" s="545"/>
      <c r="E71" s="194">
        <v>225356.67620690874</v>
      </c>
      <c r="F71" s="178"/>
      <c r="G71" s="167"/>
      <c r="H71" s="180" t="s">
        <v>212</v>
      </c>
      <c r="I71" s="167"/>
      <c r="J71" s="191"/>
      <c r="K71" s="174"/>
      <c r="L71" s="181"/>
      <c r="M71" s="159"/>
      <c r="N71" s="161"/>
      <c r="O71" s="161"/>
      <c r="R71" s="228"/>
    </row>
    <row r="72" spans="1:18" ht="15" customHeight="1" x14ac:dyDescent="0.2">
      <c r="A72" s="540" t="s">
        <v>19</v>
      </c>
      <c r="B72" s="540"/>
      <c r="C72" s="540"/>
      <c r="D72" s="540"/>
      <c r="E72" s="201">
        <v>173.69313</v>
      </c>
      <c r="F72" s="178"/>
      <c r="G72" s="167"/>
      <c r="H72" s="180" t="s">
        <v>92</v>
      </c>
      <c r="I72" s="167"/>
      <c r="J72" s="162"/>
      <c r="K72" s="174"/>
      <c r="L72"/>
    </row>
    <row r="73" spans="1:18" ht="15" customHeight="1" x14ac:dyDescent="0.2">
      <c r="A73" s="541" t="s">
        <v>116</v>
      </c>
      <c r="B73" s="541"/>
      <c r="C73" s="541"/>
      <c r="D73" s="541"/>
      <c r="E73" s="517" t="str">
        <f>IF(HEIFLAG="Yes",10000,"Variable")</f>
        <v>Variable</v>
      </c>
      <c r="F73" s="178"/>
      <c r="G73" s="167"/>
      <c r="H73" s="180" t="s">
        <v>93</v>
      </c>
      <c r="L73"/>
    </row>
    <row r="74" spans="1:18" ht="15" customHeight="1" x14ac:dyDescent="0.2">
      <c r="A74" s="542" t="s">
        <v>183</v>
      </c>
      <c r="B74" s="542"/>
      <c r="C74" s="542"/>
      <c r="D74" s="542"/>
      <c r="E74" s="190">
        <v>39914145</v>
      </c>
      <c r="F74" s="178"/>
      <c r="G74" s="167"/>
      <c r="H74" s="180" t="s">
        <v>218</v>
      </c>
      <c r="I74" s="167"/>
      <c r="J74" s="174"/>
      <c r="K74" s="174"/>
      <c r="L74"/>
    </row>
    <row r="75" spans="1:18" ht="15" customHeight="1" x14ac:dyDescent="0.2">
      <c r="A75" s="558" t="s">
        <v>20</v>
      </c>
      <c r="B75" s="558"/>
      <c r="C75" s="558"/>
      <c r="D75" s="558"/>
      <c r="E75" s="203">
        <v>39995582</v>
      </c>
      <c r="F75" s="178"/>
      <c r="G75" s="167"/>
      <c r="H75" s="180" t="s">
        <v>97</v>
      </c>
      <c r="I75" s="167"/>
      <c r="K75" s="174"/>
      <c r="L75" s="162" t="s">
        <v>231</v>
      </c>
      <c r="N75" s="12"/>
      <c r="O75" s="157"/>
    </row>
    <row r="76" spans="1:18" ht="15" customHeight="1" thickBot="1" x14ac:dyDescent="0.25">
      <c r="A76" s="551" t="s">
        <v>261</v>
      </c>
      <c r="B76" s="551"/>
      <c r="C76" s="551"/>
      <c r="D76" s="551"/>
      <c r="E76" s="205">
        <v>1657158</v>
      </c>
      <c r="F76" s="178"/>
      <c r="G76" s="167"/>
      <c r="H76" s="180" t="s">
        <v>219</v>
      </c>
      <c r="I76" s="167"/>
      <c r="K76" s="174"/>
      <c r="L76" s="206" t="s">
        <v>37</v>
      </c>
    </row>
    <row r="77" spans="1:18" ht="15" customHeight="1" x14ac:dyDescent="0.2">
      <c r="A77" s="207"/>
      <c r="B77" s="207"/>
      <c r="C77" s="207"/>
      <c r="D77" s="207"/>
      <c r="E77" s="208"/>
      <c r="F77" s="164"/>
      <c r="G77" s="167"/>
      <c r="H77" s="191"/>
      <c r="I77" s="167"/>
      <c r="J77" s="162"/>
      <c r="K77" s="174"/>
      <c r="L77" s="179"/>
    </row>
    <row r="78" spans="1:18" ht="15" customHeight="1" x14ac:dyDescent="0.2">
      <c r="A78" s="182" t="s">
        <v>264</v>
      </c>
      <c r="B78" s="182"/>
      <c r="C78" s="182"/>
      <c r="D78" s="182"/>
      <c r="E78" s="204"/>
      <c r="F78" s="164"/>
      <c r="G78" s="167"/>
      <c r="H78" s="191"/>
      <c r="I78" s="167"/>
      <c r="J78" s="162"/>
      <c r="K78" s="174"/>
      <c r="L78" s="179"/>
    </row>
    <row r="79" spans="1:18" ht="15" customHeight="1" x14ac:dyDescent="0.2">
      <c r="A79" s="182" t="str">
        <f>IF(FECHEALTHFLAG="No","","² Nursing, midwifery and allied health")</f>
        <v>² Nursing, midwifery and allied health</v>
      </c>
      <c r="B79" s="182"/>
      <c r="C79" s="182"/>
      <c r="D79" s="182"/>
      <c r="E79" s="204"/>
      <c r="F79" s="164"/>
      <c r="G79" s="167"/>
      <c r="H79" s="191"/>
      <c r="I79" s="167"/>
      <c r="J79" s="162"/>
      <c r="K79" s="174"/>
      <c r="L79" s="179"/>
    </row>
    <row r="80" spans="1:18" ht="15" customHeight="1" x14ac:dyDescent="0.2">
      <c r="A80" s="165"/>
      <c r="B80" s="165"/>
      <c r="C80" s="165"/>
      <c r="D80" s="165"/>
      <c r="E80" s="204"/>
      <c r="F80" s="164"/>
      <c r="G80" s="167"/>
      <c r="H80" s="168"/>
      <c r="I80" s="167"/>
      <c r="J80" s="162"/>
      <c r="K80" s="174"/>
      <c r="L80" s="179"/>
    </row>
    <row r="81" spans="1:36" ht="15" hidden="1" customHeight="1" x14ac:dyDescent="0.2">
      <c r="A81" s="165"/>
      <c r="B81" s="165"/>
      <c r="C81" s="165"/>
      <c r="D81" s="165"/>
      <c r="E81" s="229" t="s">
        <v>62</v>
      </c>
      <c r="F81" s="164"/>
      <c r="G81" s="167"/>
      <c r="H81" s="168"/>
      <c r="I81" s="167"/>
      <c r="J81" s="162"/>
      <c r="K81" s="174"/>
      <c r="L81" s="179"/>
    </row>
    <row r="82" spans="1:36" ht="15" customHeight="1" x14ac:dyDescent="0.2">
      <c r="A82" s="165"/>
      <c r="B82" s="165"/>
      <c r="C82" s="165"/>
      <c r="D82" s="165"/>
      <c r="E82" s="204"/>
      <c r="F82" s="164"/>
      <c r="G82" s="167"/>
      <c r="H82" s="168"/>
      <c r="I82" s="167"/>
      <c r="J82" s="162"/>
      <c r="K82" s="174"/>
      <c r="L82" s="179"/>
    </row>
    <row r="83" spans="1:36" ht="15" customHeight="1" x14ac:dyDescent="0.2">
      <c r="A83" s="165"/>
      <c r="B83" s="165"/>
      <c r="C83" s="165"/>
      <c r="D83" s="165"/>
      <c r="E83" s="204"/>
      <c r="F83" s="164"/>
      <c r="G83" s="167"/>
      <c r="H83" s="168"/>
      <c r="I83" s="167"/>
      <c r="J83" s="162"/>
      <c r="K83" s="174"/>
      <c r="L83" s="179"/>
    </row>
    <row r="84" spans="1:36" s="12" customFormat="1" x14ac:dyDescent="0.2">
      <c r="A84" s="157"/>
      <c r="B84" s="157"/>
      <c r="C84" s="157"/>
      <c r="D84" s="157"/>
      <c r="E84" s="157"/>
      <c r="F84" s="157"/>
      <c r="G84" s="230"/>
      <c r="H84" s="231"/>
      <c r="I84" s="230"/>
      <c r="J84" s="230"/>
      <c r="K84" s="51"/>
      <c r="L84" s="230"/>
      <c r="M84" s="230"/>
      <c r="O84" s="157"/>
      <c r="P84" s="157"/>
    </row>
    <row r="85" spans="1:36" x14ac:dyDescent="0.2">
      <c r="A85" s="161"/>
      <c r="B85" s="161"/>
      <c r="C85" s="161"/>
      <c r="D85" s="161"/>
      <c r="H85" s="153"/>
      <c r="L85" s="161"/>
      <c r="AI85" s="12"/>
      <c r="AJ85" s="12"/>
    </row>
    <row r="86" spans="1:36" x14ac:dyDescent="0.2">
      <c r="G86" s="161"/>
      <c r="H86" s="232"/>
      <c r="I86" s="161"/>
      <c r="L86" s="174"/>
      <c r="M86" s="174"/>
      <c r="N86" s="174"/>
      <c r="O86" s="174"/>
      <c r="P86" s="161"/>
      <c r="AG86" s="161"/>
    </row>
    <row r="87" spans="1:36" x14ac:dyDescent="0.2">
      <c r="H87" s="153"/>
      <c r="L87" s="161"/>
      <c r="Y87" s="161"/>
    </row>
    <row r="88" spans="1:36" x14ac:dyDescent="0.2">
      <c r="A88" s="161"/>
      <c r="B88" s="161"/>
      <c r="C88" s="161"/>
      <c r="D88" s="161"/>
      <c r="I88" s="161"/>
    </row>
    <row r="89" spans="1:36" x14ac:dyDescent="0.2">
      <c r="P89" s="161"/>
      <c r="X89" s="161"/>
    </row>
    <row r="90" spans="1:36" x14ac:dyDescent="0.2">
      <c r="I90" s="161"/>
    </row>
    <row r="91" spans="1:36" x14ac:dyDescent="0.2">
      <c r="P91" s="161"/>
      <c r="X91" s="161"/>
    </row>
    <row r="92" spans="1:36" x14ac:dyDescent="0.2">
      <c r="A92" s="161"/>
      <c r="B92" s="161"/>
      <c r="C92" s="161"/>
      <c r="D92" s="161"/>
      <c r="I92" s="161"/>
      <c r="X92" s="161"/>
    </row>
    <row r="93" spans="1:36" x14ac:dyDescent="0.2">
      <c r="A93" s="161"/>
      <c r="B93" s="161"/>
      <c r="C93" s="161"/>
      <c r="D93" s="161"/>
    </row>
    <row r="94" spans="1:36" x14ac:dyDescent="0.2">
      <c r="I94" s="161"/>
      <c r="X94" s="161"/>
    </row>
    <row r="95" spans="1:36" x14ac:dyDescent="0.2">
      <c r="A95" s="161"/>
      <c r="B95" s="161"/>
      <c r="C95" s="161"/>
      <c r="D95" s="161"/>
    </row>
  </sheetData>
  <mergeCells count="43">
    <mergeCell ref="A4:F4"/>
    <mergeCell ref="A39:D39"/>
    <mergeCell ref="A40:D40"/>
    <mergeCell ref="A20:D20"/>
    <mergeCell ref="A5:E5"/>
    <mergeCell ref="A16:D16"/>
    <mergeCell ref="A17:D17"/>
    <mergeCell ref="A18:D18"/>
    <mergeCell ref="A19:D19"/>
    <mergeCell ref="A76:D76"/>
    <mergeCell ref="A61:E61"/>
    <mergeCell ref="A66:D66"/>
    <mergeCell ref="A67:D67"/>
    <mergeCell ref="A68:D68"/>
    <mergeCell ref="A69:D69"/>
    <mergeCell ref="A70:D70"/>
    <mergeCell ref="A71:D71"/>
    <mergeCell ref="A63:C63"/>
    <mergeCell ref="A64:C64"/>
    <mergeCell ref="A75:D75"/>
    <mergeCell ref="A57:D57"/>
    <mergeCell ref="A52:E52"/>
    <mergeCell ref="A47:D47"/>
    <mergeCell ref="A48:D48"/>
    <mergeCell ref="A53:D53"/>
    <mergeCell ref="A54:D54"/>
    <mergeCell ref="A55:D55"/>
    <mergeCell ref="A1:F1"/>
    <mergeCell ref="A72:D72"/>
    <mergeCell ref="A73:D73"/>
    <mergeCell ref="A74:D74"/>
    <mergeCell ref="A28:E28"/>
    <mergeCell ref="A41:D41"/>
    <mergeCell ref="A42:D42"/>
    <mergeCell ref="A43:D43"/>
    <mergeCell ref="A44:D44"/>
    <mergeCell ref="A45:D45"/>
    <mergeCell ref="A46:D46"/>
    <mergeCell ref="A21:D21"/>
    <mergeCell ref="A22:D22"/>
    <mergeCell ref="A23:D23"/>
    <mergeCell ref="A24:D24"/>
    <mergeCell ref="A56:D56"/>
  </mergeCells>
  <phoneticPr fontId="4" type="noConversion"/>
  <conditionalFormatting sqref="E7:F24 E30:F48 E53:F57 E63:F76">
    <cfRule type="cellIs" dxfId="3" priority="1" operator="equal">
      <formula>0</formula>
    </cfRule>
  </conditionalFormatting>
  <pageMargins left="0.70866141732283472" right="0.70866141732283472" top="0.74803149606299213" bottom="0.74803149606299213" header="0.31496062992125984" footer="0.31496062992125984"/>
  <pageSetup paperSize="9"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K12"/>
  <sheetViews>
    <sheetView showGridLines="0" workbookViewId="0">
      <pane xSplit="1" ySplit="6" topLeftCell="B7" activePane="bottomRight" state="frozen"/>
      <selection sqref="A1:M1"/>
      <selection pane="topRight" sqref="A1:M1"/>
      <selection pane="bottomLeft" sqref="A1:M1"/>
      <selection pane="bottomRight" sqref="A1:E1"/>
    </sheetView>
  </sheetViews>
  <sheetFormatPr defaultRowHeight="13.5" x14ac:dyDescent="0.2"/>
  <cols>
    <col min="1" max="1" width="52.28515625" style="12" customWidth="1"/>
    <col min="2" max="2" width="9.85546875" style="12" customWidth="1"/>
    <col min="3" max="3" width="9.140625" style="12"/>
    <col min="4" max="4" width="9.42578125" style="12" customWidth="1"/>
    <col min="5" max="5" width="9.140625" style="12"/>
    <col min="6" max="6" width="14" style="12" customWidth="1"/>
    <col min="7" max="7" width="13" style="12" customWidth="1"/>
    <col min="8" max="8" width="9.140625" style="12"/>
    <col min="9" max="9" width="11.5703125" style="12" hidden="1" customWidth="1"/>
    <col min="10" max="11" width="9.140625" style="12" hidden="1" customWidth="1"/>
    <col min="12" max="16384" width="9.140625" style="12"/>
  </cols>
  <sheetData>
    <row r="1" spans="1:11" ht="15.75" customHeight="1" x14ac:dyDescent="0.25">
      <c r="A1" s="524" t="str">
        <f>'A Summary'!J8</f>
        <v xml:space="preserve">Sector summary of all providers </v>
      </c>
      <c r="B1" s="524"/>
      <c r="C1" s="524"/>
      <c r="D1" s="524"/>
      <c r="E1" s="524"/>
      <c r="G1" s="79" t="str">
        <f>DATE</f>
        <v>October 2018</v>
      </c>
      <c r="K1" s="12" t="s">
        <v>238</v>
      </c>
    </row>
    <row r="2" spans="1:11" x14ac:dyDescent="0.2">
      <c r="B2" s="13"/>
      <c r="C2" s="13"/>
      <c r="K2" s="19" t="s">
        <v>37</v>
      </c>
    </row>
    <row r="3" spans="1:11" ht="22.5" customHeight="1" thickBot="1" x14ac:dyDescent="0.25">
      <c r="A3" s="80" t="s">
        <v>122</v>
      </c>
      <c r="E3" s="23"/>
      <c r="F3" s="23"/>
      <c r="G3" s="23"/>
      <c r="H3" s="23"/>
      <c r="K3" s="13" t="s">
        <v>222</v>
      </c>
    </row>
    <row r="4" spans="1:11" ht="43.5" customHeight="1" x14ac:dyDescent="0.2">
      <c r="A4" s="82"/>
      <c r="B4" s="568" t="str">
        <f>K4</f>
        <v>2017-18 Years countable from Table 4 of HESES17 and HEIFES17</v>
      </c>
      <c r="C4" s="569"/>
      <c r="D4" s="569"/>
      <c r="E4" s="570"/>
      <c r="F4" s="571" t="s">
        <v>129</v>
      </c>
      <c r="G4" s="537" t="s">
        <v>130</v>
      </c>
      <c r="K4" s="12" t="str">
        <f>IF(HEIFLAG="No","2017-18 Years countable from Table 4 of HEIFES17",IF(HEIFLAG="Both","2017-18 Years countable from Table 4 of HESES17 and HEIFES17","2017-18 Years countable from Table 4 of HESES17"))</f>
        <v>2017-18 Years countable from Table 4 of HESES17 and HEIFES17</v>
      </c>
    </row>
    <row r="5" spans="1:11" x14ac:dyDescent="0.2">
      <c r="A5" s="157"/>
      <c r="B5" s="564" t="s">
        <v>269</v>
      </c>
      <c r="C5" s="565"/>
      <c r="D5" s="566" t="s">
        <v>128</v>
      </c>
      <c r="E5" s="567"/>
      <c r="F5" s="572"/>
      <c r="G5" s="563"/>
    </row>
    <row r="6" spans="1:11" ht="27" x14ac:dyDescent="0.2">
      <c r="A6" s="233" t="s">
        <v>125</v>
      </c>
      <c r="B6" s="234" t="s">
        <v>237</v>
      </c>
      <c r="C6" s="84" t="s">
        <v>124</v>
      </c>
      <c r="D6" s="235" t="s">
        <v>237</v>
      </c>
      <c r="E6" s="236" t="s">
        <v>124</v>
      </c>
      <c r="F6" s="573"/>
      <c r="G6" s="538"/>
      <c r="I6" s="237" t="s">
        <v>132</v>
      </c>
    </row>
    <row r="7" spans="1:11" ht="15" customHeight="1" x14ac:dyDescent="0.2">
      <c r="A7" s="238" t="s">
        <v>126</v>
      </c>
      <c r="B7" s="239">
        <v>5394</v>
      </c>
      <c r="C7" s="240">
        <v>42</v>
      </c>
      <c r="D7" s="241">
        <v>2236</v>
      </c>
      <c r="E7" s="242">
        <v>8</v>
      </c>
      <c r="F7" s="239">
        <v>7680</v>
      </c>
      <c r="G7" s="240">
        <v>17779200</v>
      </c>
      <c r="I7" s="33" t="s">
        <v>133</v>
      </c>
    </row>
    <row r="8" spans="1:11" ht="15" customHeight="1" thickBot="1" x14ac:dyDescent="0.25">
      <c r="A8" s="243" t="s">
        <v>127</v>
      </c>
      <c r="B8" s="244">
        <v>5188</v>
      </c>
      <c r="C8" s="245">
        <v>116</v>
      </c>
      <c r="D8" s="246">
        <v>0</v>
      </c>
      <c r="E8" s="247">
        <v>0</v>
      </c>
      <c r="F8" s="244">
        <v>5304</v>
      </c>
      <c r="G8" s="245">
        <v>12278760</v>
      </c>
      <c r="I8" s="33" t="s">
        <v>134</v>
      </c>
    </row>
    <row r="9" spans="1:11" ht="15" customHeight="1" thickTop="1" thickBot="1" x14ac:dyDescent="0.25">
      <c r="A9" s="248" t="s">
        <v>3</v>
      </c>
      <c r="B9" s="249">
        <f>SUM(B7:B8)</f>
        <v>10582</v>
      </c>
      <c r="C9" s="250">
        <f t="shared" ref="C9:G9" si="0">SUM(C7:C8)</f>
        <v>158</v>
      </c>
      <c r="D9" s="251">
        <f>D7</f>
        <v>2236</v>
      </c>
      <c r="E9" s="252">
        <f>E7</f>
        <v>8</v>
      </c>
      <c r="F9" s="249">
        <f t="shared" si="0"/>
        <v>12984</v>
      </c>
      <c r="G9" s="250">
        <f t="shared" si="0"/>
        <v>30057960</v>
      </c>
    </row>
    <row r="11" spans="1:11" hidden="1" x14ac:dyDescent="0.2">
      <c r="A11" s="253" t="s">
        <v>180</v>
      </c>
      <c r="B11" s="154" t="s">
        <v>2</v>
      </c>
      <c r="C11" s="154" t="s">
        <v>2</v>
      </c>
      <c r="D11" s="154" t="s">
        <v>14</v>
      </c>
      <c r="E11" s="154" t="s">
        <v>14</v>
      </c>
      <c r="F11" s="154" t="s">
        <v>181</v>
      </c>
      <c r="G11" s="154" t="s">
        <v>181</v>
      </c>
    </row>
    <row r="12" spans="1:11" hidden="1" x14ac:dyDescent="0.2">
      <c r="B12" s="154" t="s">
        <v>49</v>
      </c>
      <c r="C12" s="154" t="s">
        <v>182</v>
      </c>
      <c r="D12" s="154" t="s">
        <v>49</v>
      </c>
      <c r="E12" s="154" t="s">
        <v>182</v>
      </c>
      <c r="F12" s="154" t="s">
        <v>189</v>
      </c>
      <c r="G12" s="154" t="s">
        <v>146</v>
      </c>
    </row>
  </sheetData>
  <mergeCells count="6">
    <mergeCell ref="G4:G6"/>
    <mergeCell ref="A1:E1"/>
    <mergeCell ref="B5:C5"/>
    <mergeCell ref="D5:E5"/>
    <mergeCell ref="B4:E4"/>
    <mergeCell ref="F4:F6"/>
  </mergeCells>
  <conditionalFormatting sqref="B7:G7 B8:C9 D9:G9 F8:G8">
    <cfRule type="cellIs" dxfId="2" priority="1" operator="equal">
      <formula>0</formula>
    </cfRule>
  </conditionalFormatting>
  <pageMargins left="0.70866141732283472" right="0.70866141732283472" top="0.74803149606299213" bottom="0.74803149606299213" header="0.31496062992125984" footer="0.31496062992125984"/>
  <pageSetup paperSize="9" orientation="landscape" r:id="rId1"/>
  <ignoredErrors>
    <ignoredError sqref="A1:G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A1:P48"/>
  <sheetViews>
    <sheetView showGridLines="0" workbookViewId="0">
      <pane xSplit="2" ySplit="6" topLeftCell="C7" activePane="bottomRight" state="frozen"/>
      <selection sqref="A1:M1"/>
      <selection pane="topRight" sqref="A1:M1"/>
      <selection pane="bottomLeft" sqref="A1:M1"/>
      <selection pane="bottomRight" sqref="A1:H1"/>
    </sheetView>
  </sheetViews>
  <sheetFormatPr defaultRowHeight="13.5" x14ac:dyDescent="0.2"/>
  <cols>
    <col min="1" max="1" width="28.5703125" style="12" customWidth="1"/>
    <col min="2" max="2" width="7" style="12" customWidth="1"/>
    <col min="3" max="4" width="11.28515625" style="12" customWidth="1"/>
    <col min="5" max="7" width="11" style="12" customWidth="1"/>
    <col min="8" max="8" width="10.7109375" style="12" customWidth="1"/>
    <col min="9" max="9" width="10.5703125" style="12" customWidth="1"/>
    <col min="10" max="10" width="13" style="12" customWidth="1"/>
    <col min="11" max="11" width="9.140625" style="12"/>
    <col min="12" max="13" width="11.140625" style="12" hidden="1" customWidth="1"/>
    <col min="14" max="15" width="9.140625" style="12" hidden="1" customWidth="1"/>
    <col min="16" max="16384" width="9.140625" style="12"/>
  </cols>
  <sheetData>
    <row r="1" spans="1:16" ht="15.75" customHeight="1" x14ac:dyDescent="0.25">
      <c r="A1" s="524" t="str">
        <f>'A Summary'!J8</f>
        <v xml:space="preserve">Sector summary of all providers </v>
      </c>
      <c r="B1" s="524"/>
      <c r="C1" s="524"/>
      <c r="D1" s="524"/>
      <c r="E1" s="524"/>
      <c r="F1" s="524"/>
      <c r="G1" s="524"/>
      <c r="H1" s="524"/>
      <c r="J1" s="79" t="str">
        <f>DATE</f>
        <v>October 2018</v>
      </c>
      <c r="O1" s="12" t="s">
        <v>238</v>
      </c>
    </row>
    <row r="2" spans="1:16" x14ac:dyDescent="0.2">
      <c r="J2" s="79"/>
      <c r="O2" s="20" t="s">
        <v>37</v>
      </c>
    </row>
    <row r="3" spans="1:16" ht="22.5" customHeight="1" thickBot="1" x14ac:dyDescent="0.3">
      <c r="A3" s="80" t="s">
        <v>225</v>
      </c>
      <c r="B3" s="254"/>
      <c r="C3" s="23"/>
      <c r="D3" s="23"/>
      <c r="E3" s="23"/>
      <c r="G3" s="23"/>
      <c r="H3" s="23"/>
      <c r="I3" s="23"/>
      <c r="J3" s="23"/>
      <c r="O3" s="13" t="s">
        <v>78</v>
      </c>
    </row>
    <row r="4" spans="1:16" ht="29.25" customHeight="1" x14ac:dyDescent="0.2">
      <c r="A4" s="255"/>
      <c r="B4" s="255"/>
      <c r="C4" s="581" t="str">
        <f>O4</f>
        <v>FTEs from Tables 7a and 7c of HESES17 and HEIFES17</v>
      </c>
      <c r="D4" s="582"/>
      <c r="E4" s="582"/>
      <c r="F4" s="583"/>
      <c r="G4" s="584" t="s">
        <v>266</v>
      </c>
      <c r="H4" s="585"/>
      <c r="I4" s="585"/>
      <c r="J4" s="574" t="s">
        <v>226</v>
      </c>
      <c r="O4" s="12" t="str">
        <f>IF(HEIFLAG="No","FTEs from Tables 7a and 7c of HEIFES17",IF(HEIFLAG="Both","FTEs from Tables 7a and 7c of HESES17 and HEIFES17","FTEs from Tables 7a and 7c of HESES17"))</f>
        <v>FTEs from Tables 7a and 7c of HESES17 and HEIFES17</v>
      </c>
    </row>
    <row r="5" spans="1:16" ht="26.25" customHeight="1" x14ac:dyDescent="0.2">
      <c r="A5" s="256"/>
      <c r="B5" s="256"/>
      <c r="C5" s="577" t="s">
        <v>269</v>
      </c>
      <c r="D5" s="578"/>
      <c r="E5" s="579" t="s">
        <v>274</v>
      </c>
      <c r="F5" s="580"/>
      <c r="G5" s="586"/>
      <c r="H5" s="587"/>
      <c r="I5" s="587"/>
      <c r="J5" s="575"/>
      <c r="O5" s="12" t="str">
        <f>IF(HEIFLAG="No","PG","PGT")</f>
        <v>PGT</v>
      </c>
    </row>
    <row r="6" spans="1:16" ht="27" x14ac:dyDescent="0.2">
      <c r="A6" s="257" t="s">
        <v>131</v>
      </c>
      <c r="B6" s="258" t="s">
        <v>5</v>
      </c>
      <c r="C6" s="259" t="s">
        <v>156</v>
      </c>
      <c r="D6" s="260" t="s">
        <v>157</v>
      </c>
      <c r="E6" s="261" t="s">
        <v>156</v>
      </c>
      <c r="F6" s="262" t="s">
        <v>157</v>
      </c>
      <c r="G6" s="263" t="s">
        <v>156</v>
      </c>
      <c r="H6" s="264" t="s">
        <v>157</v>
      </c>
      <c r="I6" s="264" t="s">
        <v>3</v>
      </c>
      <c r="J6" s="576"/>
      <c r="L6" s="265" t="s">
        <v>161</v>
      </c>
      <c r="M6" s="265" t="s">
        <v>34</v>
      </c>
      <c r="O6" s="12" t="s">
        <v>229</v>
      </c>
    </row>
    <row r="7" spans="1:16" ht="15" customHeight="1" x14ac:dyDescent="0.2">
      <c r="A7" s="266" t="s">
        <v>135</v>
      </c>
      <c r="B7" s="267" t="s">
        <v>6</v>
      </c>
      <c r="C7" s="268">
        <v>0</v>
      </c>
      <c r="D7" s="269">
        <v>39</v>
      </c>
      <c r="E7" s="270">
        <v>0</v>
      </c>
      <c r="F7" s="271">
        <v>0</v>
      </c>
      <c r="G7" s="268">
        <v>0</v>
      </c>
      <c r="H7" s="272">
        <v>0</v>
      </c>
      <c r="I7" s="272">
        <v>0</v>
      </c>
      <c r="J7" s="273">
        <v>0</v>
      </c>
      <c r="L7" s="33" t="s">
        <v>162</v>
      </c>
      <c r="M7" s="33" t="s">
        <v>6</v>
      </c>
      <c r="O7" s="19" t="s">
        <v>37</v>
      </c>
      <c r="P7" s="23"/>
    </row>
    <row r="8" spans="1:16" ht="15" customHeight="1" x14ac:dyDescent="0.2">
      <c r="A8" s="274"/>
      <c r="B8" s="275" t="str">
        <f>$O$5</f>
        <v>PGT</v>
      </c>
      <c r="C8" s="276">
        <v>0</v>
      </c>
      <c r="D8" s="277">
        <v>0</v>
      </c>
      <c r="E8" s="278">
        <v>0</v>
      </c>
      <c r="F8" s="279">
        <v>0</v>
      </c>
      <c r="G8" s="276">
        <v>0</v>
      </c>
      <c r="H8" s="277">
        <v>0</v>
      </c>
      <c r="I8" s="277">
        <v>0</v>
      </c>
      <c r="J8" s="280">
        <v>0</v>
      </c>
      <c r="L8" s="33" t="s">
        <v>162</v>
      </c>
      <c r="M8" s="33" t="s">
        <v>79</v>
      </c>
      <c r="O8" s="19" t="s">
        <v>37</v>
      </c>
      <c r="P8" s="23"/>
    </row>
    <row r="9" spans="1:16" ht="15" customHeight="1" x14ac:dyDescent="0.2">
      <c r="A9" s="281" t="s">
        <v>136</v>
      </c>
      <c r="B9" s="282" t="s">
        <v>6</v>
      </c>
      <c r="C9" s="283">
        <v>0</v>
      </c>
      <c r="D9" s="284">
        <v>205</v>
      </c>
      <c r="E9" s="285">
        <v>0</v>
      </c>
      <c r="F9" s="286">
        <v>2.82</v>
      </c>
      <c r="G9" s="283">
        <v>0</v>
      </c>
      <c r="H9" s="287">
        <v>0</v>
      </c>
      <c r="I9" s="287">
        <v>0</v>
      </c>
      <c r="J9" s="288">
        <v>0</v>
      </c>
      <c r="L9" s="33" t="s">
        <v>163</v>
      </c>
      <c r="M9" s="33" t="s">
        <v>6</v>
      </c>
      <c r="O9" s="19" t="s">
        <v>37</v>
      </c>
      <c r="P9" s="23"/>
    </row>
    <row r="10" spans="1:16" ht="15" customHeight="1" x14ac:dyDescent="0.2">
      <c r="A10" s="274"/>
      <c r="B10" s="275" t="str">
        <f>$O$5</f>
        <v>PGT</v>
      </c>
      <c r="C10" s="276">
        <v>0</v>
      </c>
      <c r="D10" s="277">
        <v>0</v>
      </c>
      <c r="E10" s="278">
        <v>0</v>
      </c>
      <c r="F10" s="279">
        <v>0</v>
      </c>
      <c r="G10" s="276">
        <v>0</v>
      </c>
      <c r="H10" s="277">
        <v>0</v>
      </c>
      <c r="I10" s="277">
        <v>0</v>
      </c>
      <c r="J10" s="280">
        <v>0</v>
      </c>
      <c r="L10" s="33" t="s">
        <v>163</v>
      </c>
      <c r="M10" s="33" t="s">
        <v>79</v>
      </c>
      <c r="O10" s="19" t="s">
        <v>37</v>
      </c>
      <c r="P10" s="23"/>
    </row>
    <row r="11" spans="1:16" ht="15" customHeight="1" x14ac:dyDescent="0.2">
      <c r="A11" s="281" t="s">
        <v>137</v>
      </c>
      <c r="B11" s="282" t="s">
        <v>6</v>
      </c>
      <c r="C11" s="289">
        <v>216</v>
      </c>
      <c r="D11" s="284">
        <v>226</v>
      </c>
      <c r="E11" s="290">
        <v>1.03</v>
      </c>
      <c r="F11" s="286">
        <v>0.5</v>
      </c>
      <c r="G11" s="283">
        <v>0</v>
      </c>
      <c r="H11" s="287">
        <v>0</v>
      </c>
      <c r="I11" s="287">
        <v>0</v>
      </c>
      <c r="J11" s="288">
        <v>0</v>
      </c>
      <c r="L11" s="33" t="s">
        <v>164</v>
      </c>
      <c r="M11" s="33" t="s">
        <v>6</v>
      </c>
      <c r="O11" s="19" t="s">
        <v>37</v>
      </c>
      <c r="P11" s="23"/>
    </row>
    <row r="12" spans="1:16" ht="15" customHeight="1" x14ac:dyDescent="0.2">
      <c r="A12" s="274"/>
      <c r="B12" s="275" t="str">
        <f>$O$5</f>
        <v>PGT</v>
      </c>
      <c r="C12" s="276">
        <v>0</v>
      </c>
      <c r="D12" s="291">
        <v>67</v>
      </c>
      <c r="E12" s="278">
        <v>0</v>
      </c>
      <c r="F12" s="292">
        <v>0</v>
      </c>
      <c r="G12" s="276">
        <v>0</v>
      </c>
      <c r="H12" s="291">
        <v>67</v>
      </c>
      <c r="I12" s="291">
        <v>67</v>
      </c>
      <c r="J12" s="293">
        <v>46900</v>
      </c>
      <c r="L12" s="33" t="s">
        <v>164</v>
      </c>
      <c r="M12" s="33" t="s">
        <v>79</v>
      </c>
      <c r="O12" s="19" t="s">
        <v>37</v>
      </c>
      <c r="P12" s="23"/>
    </row>
    <row r="13" spans="1:16" ht="15" customHeight="1" x14ac:dyDescent="0.2">
      <c r="A13" s="281" t="s">
        <v>138</v>
      </c>
      <c r="B13" s="282" t="s">
        <v>6</v>
      </c>
      <c r="C13" s="289">
        <v>1915</v>
      </c>
      <c r="D13" s="284">
        <v>2246</v>
      </c>
      <c r="E13" s="290">
        <v>11.35</v>
      </c>
      <c r="F13" s="286">
        <v>0</v>
      </c>
      <c r="G13" s="283">
        <v>0</v>
      </c>
      <c r="H13" s="287">
        <v>0</v>
      </c>
      <c r="I13" s="287">
        <v>0</v>
      </c>
      <c r="J13" s="288">
        <v>0</v>
      </c>
      <c r="L13" s="33" t="s">
        <v>165</v>
      </c>
      <c r="M13" s="33" t="s">
        <v>6</v>
      </c>
      <c r="O13" s="19" t="s">
        <v>37</v>
      </c>
      <c r="P13" s="23"/>
    </row>
    <row r="14" spans="1:16" ht="15" customHeight="1" x14ac:dyDescent="0.2">
      <c r="A14" s="274"/>
      <c r="B14" s="275" t="str">
        <f>$O$5</f>
        <v>PGT</v>
      </c>
      <c r="C14" s="276">
        <v>0</v>
      </c>
      <c r="D14" s="291">
        <v>69</v>
      </c>
      <c r="E14" s="278">
        <v>0</v>
      </c>
      <c r="F14" s="292">
        <v>1.43</v>
      </c>
      <c r="G14" s="276">
        <v>0</v>
      </c>
      <c r="H14" s="294">
        <v>70.430000000000007</v>
      </c>
      <c r="I14" s="294">
        <v>70.430000000000007</v>
      </c>
      <c r="J14" s="295">
        <v>49301</v>
      </c>
      <c r="L14" s="33" t="s">
        <v>165</v>
      </c>
      <c r="M14" s="33" t="s">
        <v>79</v>
      </c>
      <c r="O14" s="19" t="s">
        <v>37</v>
      </c>
      <c r="P14" s="23"/>
    </row>
    <row r="15" spans="1:16" ht="15" customHeight="1" x14ac:dyDescent="0.2">
      <c r="A15" s="281" t="s">
        <v>101</v>
      </c>
      <c r="B15" s="282" t="s">
        <v>6</v>
      </c>
      <c r="C15" s="289">
        <v>11061</v>
      </c>
      <c r="D15" s="284">
        <v>11589</v>
      </c>
      <c r="E15" s="290">
        <v>121.05</v>
      </c>
      <c r="F15" s="286">
        <v>45.05</v>
      </c>
      <c r="G15" s="296">
        <v>11182.05</v>
      </c>
      <c r="H15" s="297">
        <v>11634.05</v>
      </c>
      <c r="I15" s="297">
        <v>22816.1</v>
      </c>
      <c r="J15" s="298">
        <v>4563220</v>
      </c>
      <c r="L15" s="33" t="s">
        <v>166</v>
      </c>
      <c r="M15" s="33" t="s">
        <v>6</v>
      </c>
      <c r="O15" s="19" t="s">
        <v>37</v>
      </c>
      <c r="P15" s="23"/>
    </row>
    <row r="16" spans="1:16" ht="15" customHeight="1" x14ac:dyDescent="0.2">
      <c r="A16" s="274"/>
      <c r="B16" s="275" t="str">
        <f>$O$5</f>
        <v>PGT</v>
      </c>
      <c r="C16" s="276">
        <v>0</v>
      </c>
      <c r="D16" s="291">
        <v>857</v>
      </c>
      <c r="E16" s="278">
        <v>0</v>
      </c>
      <c r="F16" s="292">
        <v>0.38</v>
      </c>
      <c r="G16" s="276">
        <v>0</v>
      </c>
      <c r="H16" s="294">
        <v>857.38</v>
      </c>
      <c r="I16" s="294">
        <v>857.38</v>
      </c>
      <c r="J16" s="295">
        <v>771642</v>
      </c>
      <c r="L16" s="33" t="s">
        <v>166</v>
      </c>
      <c r="M16" s="33" t="s">
        <v>79</v>
      </c>
      <c r="O16" s="19" t="s">
        <v>37</v>
      </c>
      <c r="P16" s="23"/>
    </row>
    <row r="17" spans="1:16" ht="15" customHeight="1" x14ac:dyDescent="0.2">
      <c r="A17" s="281" t="s">
        <v>102</v>
      </c>
      <c r="B17" s="282" t="s">
        <v>6</v>
      </c>
      <c r="C17" s="289">
        <v>1712</v>
      </c>
      <c r="D17" s="284">
        <v>2059</v>
      </c>
      <c r="E17" s="290">
        <v>4.3600000000000003</v>
      </c>
      <c r="F17" s="286">
        <v>0</v>
      </c>
      <c r="G17" s="296">
        <v>1716.36</v>
      </c>
      <c r="H17" s="297">
        <v>2059</v>
      </c>
      <c r="I17" s="297">
        <v>3775.36</v>
      </c>
      <c r="J17" s="298">
        <v>1510144</v>
      </c>
      <c r="L17" s="33" t="s">
        <v>167</v>
      </c>
      <c r="M17" s="33" t="s">
        <v>6</v>
      </c>
      <c r="O17" s="19" t="s">
        <v>37</v>
      </c>
      <c r="P17" s="23"/>
    </row>
    <row r="18" spans="1:16" ht="15" customHeight="1" x14ac:dyDescent="0.2">
      <c r="A18" s="274"/>
      <c r="B18" s="275" t="str">
        <f>$O$5</f>
        <v>PGT</v>
      </c>
      <c r="C18" s="276">
        <v>0</v>
      </c>
      <c r="D18" s="291">
        <v>127</v>
      </c>
      <c r="E18" s="278">
        <v>0</v>
      </c>
      <c r="F18" s="292">
        <v>0.6</v>
      </c>
      <c r="G18" s="276">
        <v>0</v>
      </c>
      <c r="H18" s="294">
        <v>127.6</v>
      </c>
      <c r="I18" s="294">
        <v>127.6</v>
      </c>
      <c r="J18" s="295">
        <v>140360</v>
      </c>
      <c r="L18" s="33" t="s">
        <v>167</v>
      </c>
      <c r="M18" s="33" t="s">
        <v>79</v>
      </c>
      <c r="O18" s="19" t="s">
        <v>37</v>
      </c>
      <c r="P18" s="23"/>
    </row>
    <row r="19" spans="1:16" ht="15" customHeight="1" x14ac:dyDescent="0.2">
      <c r="A19" s="281" t="s">
        <v>108</v>
      </c>
      <c r="B19" s="282" t="s">
        <v>6</v>
      </c>
      <c r="C19" s="289">
        <v>471</v>
      </c>
      <c r="D19" s="284">
        <v>370.5</v>
      </c>
      <c r="E19" s="290">
        <v>3.89</v>
      </c>
      <c r="F19" s="286">
        <v>0</v>
      </c>
      <c r="G19" s="296">
        <v>474.89</v>
      </c>
      <c r="H19" s="297">
        <v>370.5</v>
      </c>
      <c r="I19" s="297">
        <v>845.39</v>
      </c>
      <c r="J19" s="298">
        <v>338156</v>
      </c>
      <c r="L19" s="33" t="s">
        <v>168</v>
      </c>
      <c r="M19" s="33" t="s">
        <v>6</v>
      </c>
      <c r="O19" s="19" t="s">
        <v>37</v>
      </c>
      <c r="P19" s="23"/>
    </row>
    <row r="20" spans="1:16" ht="15" customHeight="1" x14ac:dyDescent="0.2">
      <c r="A20" s="274"/>
      <c r="B20" s="275" t="str">
        <f>$O$5</f>
        <v>PGT</v>
      </c>
      <c r="C20" s="276">
        <v>0</v>
      </c>
      <c r="D20" s="291">
        <v>42</v>
      </c>
      <c r="E20" s="278">
        <v>0</v>
      </c>
      <c r="F20" s="292">
        <v>0</v>
      </c>
      <c r="G20" s="276">
        <v>0</v>
      </c>
      <c r="H20" s="294">
        <v>42</v>
      </c>
      <c r="I20" s="294">
        <v>42</v>
      </c>
      <c r="J20" s="295">
        <v>46200</v>
      </c>
      <c r="L20" s="33" t="s">
        <v>168</v>
      </c>
      <c r="M20" s="33" t="s">
        <v>79</v>
      </c>
      <c r="O20" s="19" t="s">
        <v>37</v>
      </c>
      <c r="P20" s="23"/>
    </row>
    <row r="21" spans="1:16" ht="15" customHeight="1" x14ac:dyDescent="0.2">
      <c r="A21" s="281" t="s">
        <v>103</v>
      </c>
      <c r="B21" s="282" t="s">
        <v>6</v>
      </c>
      <c r="C21" s="289">
        <v>2383</v>
      </c>
      <c r="D21" s="284">
        <v>2627.5</v>
      </c>
      <c r="E21" s="290">
        <v>43.36</v>
      </c>
      <c r="F21" s="286">
        <v>14.3</v>
      </c>
      <c r="G21" s="296">
        <v>2426.36</v>
      </c>
      <c r="H21" s="297">
        <v>2641.8</v>
      </c>
      <c r="I21" s="297">
        <v>5068.16</v>
      </c>
      <c r="J21" s="298">
        <v>1013632</v>
      </c>
      <c r="L21" s="33" t="s">
        <v>169</v>
      </c>
      <c r="M21" s="33" t="s">
        <v>6</v>
      </c>
      <c r="O21" s="19" t="s">
        <v>37</v>
      </c>
      <c r="P21" s="23"/>
    </row>
    <row r="22" spans="1:16" ht="15" customHeight="1" x14ac:dyDescent="0.2">
      <c r="A22" s="274"/>
      <c r="B22" s="275" t="str">
        <f>$O$5</f>
        <v>PGT</v>
      </c>
      <c r="C22" s="276">
        <v>0</v>
      </c>
      <c r="D22" s="291">
        <v>519</v>
      </c>
      <c r="E22" s="278">
        <v>0</v>
      </c>
      <c r="F22" s="292">
        <v>2.2599999999999998</v>
      </c>
      <c r="G22" s="276">
        <v>0</v>
      </c>
      <c r="H22" s="294">
        <v>521.26</v>
      </c>
      <c r="I22" s="294">
        <v>521.26</v>
      </c>
      <c r="J22" s="295">
        <v>469134</v>
      </c>
      <c r="L22" s="33" t="s">
        <v>169</v>
      </c>
      <c r="M22" s="33" t="s">
        <v>79</v>
      </c>
      <c r="O22" s="19" t="s">
        <v>37</v>
      </c>
      <c r="P22" s="23"/>
    </row>
    <row r="23" spans="1:16" ht="15" customHeight="1" x14ac:dyDescent="0.2">
      <c r="A23" s="299" t="s">
        <v>105</v>
      </c>
      <c r="B23" s="300" t="s">
        <v>6</v>
      </c>
      <c r="C23" s="301">
        <v>0</v>
      </c>
      <c r="D23" s="302">
        <v>135</v>
      </c>
      <c r="E23" s="303">
        <v>0</v>
      </c>
      <c r="F23" s="304">
        <v>0</v>
      </c>
      <c r="G23" s="305">
        <v>0</v>
      </c>
      <c r="H23" s="306">
        <v>135</v>
      </c>
      <c r="I23" s="306">
        <v>135</v>
      </c>
      <c r="J23" s="307">
        <v>27000</v>
      </c>
      <c r="L23" s="33" t="s">
        <v>170</v>
      </c>
      <c r="M23" s="33" t="s">
        <v>6</v>
      </c>
      <c r="O23" s="19" t="s">
        <v>37</v>
      </c>
      <c r="P23" s="23"/>
    </row>
    <row r="24" spans="1:16" ht="15" customHeight="1" x14ac:dyDescent="0.2">
      <c r="A24" s="274"/>
      <c r="B24" s="275" t="str">
        <f>$O$5</f>
        <v>PGT</v>
      </c>
      <c r="C24" s="276">
        <v>0</v>
      </c>
      <c r="D24" s="291">
        <v>0</v>
      </c>
      <c r="E24" s="278">
        <v>0</v>
      </c>
      <c r="F24" s="292">
        <v>0</v>
      </c>
      <c r="G24" s="276">
        <v>0</v>
      </c>
      <c r="H24" s="294">
        <v>0</v>
      </c>
      <c r="I24" s="294">
        <v>0</v>
      </c>
      <c r="J24" s="295">
        <v>0</v>
      </c>
      <c r="L24" s="33" t="s">
        <v>170</v>
      </c>
      <c r="M24" s="33" t="s">
        <v>79</v>
      </c>
      <c r="O24" s="19" t="s">
        <v>37</v>
      </c>
      <c r="P24" s="23"/>
    </row>
    <row r="25" spans="1:16" ht="15" customHeight="1" x14ac:dyDescent="0.2">
      <c r="A25" s="299" t="s">
        <v>139</v>
      </c>
      <c r="B25" s="300" t="s">
        <v>6</v>
      </c>
      <c r="C25" s="301">
        <v>1016</v>
      </c>
      <c r="D25" s="302">
        <v>1042</v>
      </c>
      <c r="E25" s="303">
        <v>61.43</v>
      </c>
      <c r="F25" s="304">
        <v>27</v>
      </c>
      <c r="G25" s="308">
        <v>0</v>
      </c>
      <c r="H25" s="309">
        <v>0</v>
      </c>
      <c r="I25" s="309">
        <v>0</v>
      </c>
      <c r="J25" s="310">
        <v>0</v>
      </c>
      <c r="L25" s="33" t="s">
        <v>171</v>
      </c>
      <c r="M25" s="33" t="s">
        <v>6</v>
      </c>
      <c r="O25" s="19" t="s">
        <v>37</v>
      </c>
      <c r="P25" s="23"/>
    </row>
    <row r="26" spans="1:16" ht="15" customHeight="1" x14ac:dyDescent="0.2">
      <c r="A26" s="274"/>
      <c r="B26" s="275" t="str">
        <f>$O$5</f>
        <v>PGT</v>
      </c>
      <c r="C26" s="276">
        <v>0</v>
      </c>
      <c r="D26" s="291">
        <v>306</v>
      </c>
      <c r="E26" s="278">
        <v>0</v>
      </c>
      <c r="F26" s="292">
        <v>0</v>
      </c>
      <c r="G26" s="276">
        <v>0</v>
      </c>
      <c r="H26" s="291">
        <v>306</v>
      </c>
      <c r="I26" s="291">
        <v>306</v>
      </c>
      <c r="J26" s="293">
        <v>214200</v>
      </c>
      <c r="L26" s="33" t="s">
        <v>171</v>
      </c>
      <c r="M26" s="33" t="s">
        <v>79</v>
      </c>
      <c r="O26" s="19" t="s">
        <v>37</v>
      </c>
      <c r="P26" s="23"/>
    </row>
    <row r="27" spans="1:16" ht="15" customHeight="1" x14ac:dyDescent="0.2">
      <c r="A27" s="299" t="s">
        <v>140</v>
      </c>
      <c r="B27" s="300" t="s">
        <v>6</v>
      </c>
      <c r="C27" s="301">
        <v>785</v>
      </c>
      <c r="D27" s="302">
        <v>767</v>
      </c>
      <c r="E27" s="303">
        <v>4.08</v>
      </c>
      <c r="F27" s="304">
        <v>0</v>
      </c>
      <c r="G27" s="308">
        <v>0</v>
      </c>
      <c r="H27" s="309">
        <v>0</v>
      </c>
      <c r="I27" s="309">
        <v>0</v>
      </c>
      <c r="J27" s="310">
        <v>0</v>
      </c>
      <c r="L27" s="33" t="s">
        <v>172</v>
      </c>
      <c r="M27" s="33" t="s">
        <v>6</v>
      </c>
      <c r="O27" s="19" t="s">
        <v>37</v>
      </c>
      <c r="P27" s="23"/>
    </row>
    <row r="28" spans="1:16" ht="15" customHeight="1" x14ac:dyDescent="0.2">
      <c r="A28" s="274"/>
      <c r="B28" s="275" t="str">
        <f>$O$5</f>
        <v>PGT</v>
      </c>
      <c r="C28" s="276">
        <v>0</v>
      </c>
      <c r="D28" s="291">
        <v>0</v>
      </c>
      <c r="E28" s="278">
        <v>0</v>
      </c>
      <c r="F28" s="292">
        <v>0</v>
      </c>
      <c r="G28" s="276">
        <v>0</v>
      </c>
      <c r="H28" s="291">
        <v>0</v>
      </c>
      <c r="I28" s="291">
        <v>0</v>
      </c>
      <c r="J28" s="293">
        <v>0</v>
      </c>
      <c r="L28" s="33" t="s">
        <v>172</v>
      </c>
      <c r="M28" s="33" t="s">
        <v>79</v>
      </c>
      <c r="O28" s="19" t="s">
        <v>37</v>
      </c>
      <c r="P28" s="23"/>
    </row>
    <row r="29" spans="1:16" ht="15" customHeight="1" x14ac:dyDescent="0.2">
      <c r="A29" s="299" t="s">
        <v>110</v>
      </c>
      <c r="B29" s="300" t="s">
        <v>6</v>
      </c>
      <c r="C29" s="301">
        <v>67</v>
      </c>
      <c r="D29" s="302">
        <v>63</v>
      </c>
      <c r="E29" s="303">
        <v>0</v>
      </c>
      <c r="F29" s="304">
        <v>0</v>
      </c>
      <c r="G29" s="305">
        <v>67</v>
      </c>
      <c r="H29" s="306">
        <v>63</v>
      </c>
      <c r="I29" s="306">
        <v>130</v>
      </c>
      <c r="J29" s="307">
        <v>455000</v>
      </c>
      <c r="L29" s="33" t="s">
        <v>173</v>
      </c>
      <c r="M29" s="33" t="s">
        <v>6</v>
      </c>
      <c r="O29" s="19" t="s">
        <v>37</v>
      </c>
      <c r="P29" s="23"/>
    </row>
    <row r="30" spans="1:16" ht="15" customHeight="1" x14ac:dyDescent="0.2">
      <c r="A30" s="274"/>
      <c r="B30" s="275" t="str">
        <f>$O$5</f>
        <v>PGT</v>
      </c>
      <c r="C30" s="276">
        <v>0</v>
      </c>
      <c r="D30" s="291">
        <v>0</v>
      </c>
      <c r="E30" s="278">
        <v>0</v>
      </c>
      <c r="F30" s="292">
        <v>0</v>
      </c>
      <c r="G30" s="276">
        <v>0</v>
      </c>
      <c r="H30" s="294">
        <v>0</v>
      </c>
      <c r="I30" s="294">
        <v>0</v>
      </c>
      <c r="J30" s="295">
        <v>0</v>
      </c>
      <c r="L30" s="33" t="s">
        <v>173</v>
      </c>
      <c r="M30" s="33" t="s">
        <v>79</v>
      </c>
      <c r="O30" s="19" t="s">
        <v>37</v>
      </c>
      <c r="P30" s="23"/>
    </row>
    <row r="31" spans="1:16" ht="15" customHeight="1" x14ac:dyDescent="0.2">
      <c r="A31" s="299" t="s">
        <v>111</v>
      </c>
      <c r="B31" s="300" t="s">
        <v>6</v>
      </c>
      <c r="C31" s="301">
        <v>31</v>
      </c>
      <c r="D31" s="302">
        <v>25</v>
      </c>
      <c r="E31" s="303">
        <v>0</v>
      </c>
      <c r="F31" s="304">
        <v>0</v>
      </c>
      <c r="G31" s="305">
        <v>31</v>
      </c>
      <c r="H31" s="306">
        <v>25</v>
      </c>
      <c r="I31" s="306">
        <v>56</v>
      </c>
      <c r="J31" s="307">
        <v>196000</v>
      </c>
      <c r="L31" s="33" t="s">
        <v>174</v>
      </c>
      <c r="M31" s="33" t="s">
        <v>6</v>
      </c>
      <c r="O31" s="19" t="s">
        <v>37</v>
      </c>
      <c r="P31" s="23"/>
    </row>
    <row r="32" spans="1:16" ht="15" customHeight="1" x14ac:dyDescent="0.2">
      <c r="A32" s="274"/>
      <c r="B32" s="275" t="str">
        <f>$O$5</f>
        <v>PGT</v>
      </c>
      <c r="C32" s="276">
        <v>0</v>
      </c>
      <c r="D32" s="291">
        <v>0</v>
      </c>
      <c r="E32" s="278">
        <v>0</v>
      </c>
      <c r="F32" s="292">
        <v>0</v>
      </c>
      <c r="G32" s="276">
        <v>0</v>
      </c>
      <c r="H32" s="294">
        <v>0</v>
      </c>
      <c r="I32" s="294">
        <v>0</v>
      </c>
      <c r="J32" s="295">
        <v>0</v>
      </c>
      <c r="L32" s="33" t="s">
        <v>174</v>
      </c>
      <c r="M32" s="33" t="s">
        <v>79</v>
      </c>
      <c r="O32" s="19" t="s">
        <v>37</v>
      </c>
      <c r="P32" s="23"/>
    </row>
    <row r="33" spans="1:16" ht="15" customHeight="1" x14ac:dyDescent="0.2">
      <c r="A33" s="299" t="s">
        <v>141</v>
      </c>
      <c r="B33" s="300" t="s">
        <v>6</v>
      </c>
      <c r="C33" s="301">
        <v>1182</v>
      </c>
      <c r="D33" s="302">
        <v>1406</v>
      </c>
      <c r="E33" s="303">
        <v>29.33</v>
      </c>
      <c r="F33" s="304">
        <v>13.8</v>
      </c>
      <c r="G33" s="308">
        <v>0</v>
      </c>
      <c r="H33" s="309">
        <v>0</v>
      </c>
      <c r="I33" s="309">
        <v>0</v>
      </c>
      <c r="J33" s="310">
        <v>0</v>
      </c>
      <c r="L33" s="33" t="s">
        <v>175</v>
      </c>
      <c r="M33" s="33" t="s">
        <v>6</v>
      </c>
      <c r="O33" s="19" t="s">
        <v>37</v>
      </c>
      <c r="P33" s="23"/>
    </row>
    <row r="34" spans="1:16" ht="15" customHeight="1" x14ac:dyDescent="0.2">
      <c r="A34" s="274"/>
      <c r="B34" s="275" t="str">
        <f>$O$5</f>
        <v>PGT</v>
      </c>
      <c r="C34" s="276">
        <v>0</v>
      </c>
      <c r="D34" s="291">
        <v>299</v>
      </c>
      <c r="E34" s="278">
        <v>0</v>
      </c>
      <c r="F34" s="292">
        <v>0</v>
      </c>
      <c r="G34" s="276">
        <v>0</v>
      </c>
      <c r="H34" s="291">
        <v>299</v>
      </c>
      <c r="I34" s="291">
        <v>299</v>
      </c>
      <c r="J34" s="293">
        <v>209300</v>
      </c>
      <c r="L34" s="33" t="s">
        <v>175</v>
      </c>
      <c r="M34" s="33" t="s">
        <v>79</v>
      </c>
      <c r="O34" s="19" t="s">
        <v>37</v>
      </c>
      <c r="P34" s="23"/>
    </row>
    <row r="35" spans="1:16" ht="15" customHeight="1" x14ac:dyDescent="0.2">
      <c r="A35" s="299" t="s">
        <v>109</v>
      </c>
      <c r="B35" s="300" t="s">
        <v>6</v>
      </c>
      <c r="C35" s="305">
        <v>227</v>
      </c>
      <c r="D35" s="306">
        <v>205</v>
      </c>
      <c r="E35" s="311">
        <v>10.37</v>
      </c>
      <c r="F35" s="312">
        <v>3.18</v>
      </c>
      <c r="G35" s="305">
        <v>237.37</v>
      </c>
      <c r="H35" s="306">
        <v>208.18</v>
      </c>
      <c r="I35" s="306">
        <v>445.55</v>
      </c>
      <c r="J35" s="307">
        <v>534660</v>
      </c>
      <c r="L35" s="33" t="s">
        <v>176</v>
      </c>
      <c r="M35" s="33" t="s">
        <v>6</v>
      </c>
      <c r="O35"/>
    </row>
    <row r="36" spans="1:16" ht="15" customHeight="1" x14ac:dyDescent="0.2">
      <c r="A36" s="274"/>
      <c r="B36" s="275" t="str">
        <f>$O$5</f>
        <v>PGT</v>
      </c>
      <c r="C36" s="276">
        <v>0</v>
      </c>
      <c r="D36" s="294">
        <v>7</v>
      </c>
      <c r="E36" s="278">
        <v>0</v>
      </c>
      <c r="F36" s="313">
        <v>0</v>
      </c>
      <c r="G36" s="276">
        <v>0</v>
      </c>
      <c r="H36" s="294">
        <v>7</v>
      </c>
      <c r="I36" s="294">
        <v>7</v>
      </c>
      <c r="J36" s="295">
        <v>13300</v>
      </c>
      <c r="L36" s="33" t="s">
        <v>176</v>
      </c>
      <c r="M36" s="33" t="s">
        <v>79</v>
      </c>
      <c r="O36" s="12" t="s">
        <v>229</v>
      </c>
    </row>
    <row r="37" spans="1:16" ht="15" customHeight="1" x14ac:dyDescent="0.2">
      <c r="A37" s="299" t="s">
        <v>104</v>
      </c>
      <c r="B37" s="300" t="s">
        <v>6</v>
      </c>
      <c r="C37" s="305">
        <v>998</v>
      </c>
      <c r="D37" s="306">
        <v>1067</v>
      </c>
      <c r="E37" s="311">
        <v>7.49</v>
      </c>
      <c r="F37" s="312">
        <v>0.61</v>
      </c>
      <c r="G37" s="305">
        <v>1005.49</v>
      </c>
      <c r="H37" s="306">
        <v>1067.6099999999999</v>
      </c>
      <c r="I37" s="306">
        <v>2073.1</v>
      </c>
      <c r="J37" s="307">
        <v>2487720</v>
      </c>
      <c r="L37" s="33" t="s">
        <v>177</v>
      </c>
      <c r="M37" s="33" t="s">
        <v>6</v>
      </c>
      <c r="O37" s="19" t="s">
        <v>37</v>
      </c>
    </row>
    <row r="38" spans="1:16" ht="15" customHeight="1" x14ac:dyDescent="0.2">
      <c r="A38" s="274"/>
      <c r="B38" s="275" t="str">
        <f>$O$5</f>
        <v>PGT</v>
      </c>
      <c r="C38" s="276">
        <v>0</v>
      </c>
      <c r="D38" s="294">
        <v>32</v>
      </c>
      <c r="E38" s="278">
        <v>0</v>
      </c>
      <c r="F38" s="313">
        <v>0</v>
      </c>
      <c r="G38" s="276">
        <v>0</v>
      </c>
      <c r="H38" s="294">
        <v>32</v>
      </c>
      <c r="I38" s="294">
        <v>32</v>
      </c>
      <c r="J38" s="295">
        <v>60800</v>
      </c>
      <c r="L38" s="33" t="s">
        <v>177</v>
      </c>
      <c r="M38" s="33" t="s">
        <v>79</v>
      </c>
      <c r="O38" s="19" t="s">
        <v>37</v>
      </c>
    </row>
    <row r="39" spans="1:16" ht="15" customHeight="1" x14ac:dyDescent="0.2">
      <c r="A39" s="299" t="s">
        <v>106</v>
      </c>
      <c r="B39" s="300" t="s">
        <v>6</v>
      </c>
      <c r="C39" s="305">
        <v>258</v>
      </c>
      <c r="D39" s="306">
        <v>250</v>
      </c>
      <c r="E39" s="311">
        <v>1.76</v>
      </c>
      <c r="F39" s="312">
        <v>2</v>
      </c>
      <c r="G39" s="305">
        <v>259.76</v>
      </c>
      <c r="H39" s="306">
        <v>252</v>
      </c>
      <c r="I39" s="306">
        <v>511.76</v>
      </c>
      <c r="J39" s="307">
        <v>614112</v>
      </c>
      <c r="L39" s="33" t="s">
        <v>178</v>
      </c>
      <c r="M39" s="33" t="s">
        <v>6</v>
      </c>
      <c r="O39" s="19" t="s">
        <v>37</v>
      </c>
    </row>
    <row r="40" spans="1:16" ht="15" customHeight="1" x14ac:dyDescent="0.2">
      <c r="A40" s="281"/>
      <c r="B40" s="282" t="str">
        <f>$O$5</f>
        <v>PGT</v>
      </c>
      <c r="C40" s="314">
        <v>0</v>
      </c>
      <c r="D40" s="315">
        <v>11</v>
      </c>
      <c r="E40" s="316">
        <v>0</v>
      </c>
      <c r="F40" s="317">
        <v>0</v>
      </c>
      <c r="G40" s="314">
        <v>0</v>
      </c>
      <c r="H40" s="315">
        <v>11</v>
      </c>
      <c r="I40" s="315">
        <v>11</v>
      </c>
      <c r="J40" s="318">
        <v>20900</v>
      </c>
      <c r="L40" s="33" t="s">
        <v>178</v>
      </c>
      <c r="M40" s="33" t="s">
        <v>79</v>
      </c>
      <c r="O40" s="19" t="s">
        <v>37</v>
      </c>
    </row>
    <row r="41" spans="1:16" ht="15" customHeight="1" x14ac:dyDescent="0.2">
      <c r="A41" s="299" t="s">
        <v>107</v>
      </c>
      <c r="B41" s="300" t="s">
        <v>6</v>
      </c>
      <c r="C41" s="305">
        <v>345</v>
      </c>
      <c r="D41" s="306">
        <v>386</v>
      </c>
      <c r="E41" s="311">
        <v>3.5</v>
      </c>
      <c r="F41" s="312">
        <v>5.75</v>
      </c>
      <c r="G41" s="305">
        <v>348.5</v>
      </c>
      <c r="H41" s="306">
        <v>391.75</v>
      </c>
      <c r="I41" s="306">
        <v>740.25</v>
      </c>
      <c r="J41" s="307">
        <v>148050</v>
      </c>
      <c r="L41" s="33" t="s">
        <v>179</v>
      </c>
      <c r="M41" s="33" t="s">
        <v>6</v>
      </c>
      <c r="O41" s="19" t="s">
        <v>37</v>
      </c>
    </row>
    <row r="42" spans="1:16" ht="15" customHeight="1" thickBot="1" x14ac:dyDescent="0.25">
      <c r="A42" s="281"/>
      <c r="B42" s="282" t="str">
        <f>$O$5</f>
        <v>PGT</v>
      </c>
      <c r="C42" s="314">
        <v>0</v>
      </c>
      <c r="D42" s="315">
        <v>250</v>
      </c>
      <c r="E42" s="316">
        <v>0</v>
      </c>
      <c r="F42" s="317">
        <v>0</v>
      </c>
      <c r="G42" s="314">
        <v>0</v>
      </c>
      <c r="H42" s="315">
        <v>250</v>
      </c>
      <c r="I42" s="315">
        <v>250</v>
      </c>
      <c r="J42" s="318">
        <v>225000</v>
      </c>
      <c r="L42" s="33" t="s">
        <v>179</v>
      </c>
      <c r="M42" s="33" t="s">
        <v>79</v>
      </c>
      <c r="O42" s="19" t="s">
        <v>37</v>
      </c>
    </row>
    <row r="43" spans="1:16" ht="15" customHeight="1" thickTop="1" x14ac:dyDescent="0.2">
      <c r="A43" s="319" t="s">
        <v>3</v>
      </c>
      <c r="B43" s="320" t="s">
        <v>6</v>
      </c>
      <c r="C43" s="321">
        <f>SUM(C7,C9,C11,C13,C15,C17,C19,C21,C23,C25,C27,C29,C31,C33,C35,C37,C39,C41)</f>
        <v>22667</v>
      </c>
      <c r="D43" s="322">
        <f t="shared" ref="D43:F43" si="0">SUM(D7,D9,D11,D13,D15,D17,D19,D21,D23,D25,D27,D29,D31,D33,D35,D37,D39,D41)</f>
        <v>24708</v>
      </c>
      <c r="E43" s="323">
        <f t="shared" si="0"/>
        <v>303.00000000000006</v>
      </c>
      <c r="F43" s="324">
        <f t="shared" si="0"/>
        <v>115.01</v>
      </c>
      <c r="G43" s="321">
        <f>SUM(G7,G9,G11,G13,G15,G17,G19,G21,G23,G25,G27,G29,G31,G33,G35,G37,G39,G41)</f>
        <v>17748.78</v>
      </c>
      <c r="H43" s="322">
        <f t="shared" ref="H43:J43" si="1">SUM(H7,H9,H11,H13,H15,H17,H19,H21,H23,H25,H27,H29,H31,H33,H35,H37,H39,H41)</f>
        <v>18847.89</v>
      </c>
      <c r="I43" s="322">
        <f t="shared" si="1"/>
        <v>36596.67</v>
      </c>
      <c r="J43" s="325">
        <f t="shared" si="1"/>
        <v>11887694</v>
      </c>
    </row>
    <row r="44" spans="1:16" ht="15" customHeight="1" x14ac:dyDescent="0.2">
      <c r="A44" s="326"/>
      <c r="B44" s="327" t="str">
        <f>$O$5</f>
        <v>PGT</v>
      </c>
      <c r="C44" s="328"/>
      <c r="D44" s="329">
        <f t="shared" ref="D44:J44" si="2">SUM(D8,D10,D12,D14,D16,D18,D20,D22,D24,D26,D28,D30,D32,D34,D36,D38,D40,D42)</f>
        <v>2586</v>
      </c>
      <c r="E44" s="330"/>
      <c r="F44" s="331">
        <f t="shared" si="2"/>
        <v>4.67</v>
      </c>
      <c r="G44" s="332"/>
      <c r="H44" s="329">
        <f t="shared" si="2"/>
        <v>2590.67</v>
      </c>
      <c r="I44" s="329">
        <f t="shared" si="2"/>
        <v>2590.67</v>
      </c>
      <c r="J44" s="333">
        <f t="shared" si="2"/>
        <v>2267037</v>
      </c>
    </row>
    <row r="45" spans="1:16" ht="15" customHeight="1" thickBot="1" x14ac:dyDescent="0.25">
      <c r="A45" s="334"/>
      <c r="B45" s="335" t="s">
        <v>4</v>
      </c>
      <c r="C45" s="336">
        <f>SUM(C7:C42)</f>
        <v>22667</v>
      </c>
      <c r="D45" s="337">
        <f t="shared" ref="D45:I45" si="3">SUM(D7:D42)</f>
        <v>27294</v>
      </c>
      <c r="E45" s="338">
        <f t="shared" si="3"/>
        <v>303.00000000000006</v>
      </c>
      <c r="F45" s="339">
        <f t="shared" si="3"/>
        <v>119.68</v>
      </c>
      <c r="G45" s="336">
        <f t="shared" si="3"/>
        <v>17748.78</v>
      </c>
      <c r="H45" s="337">
        <f t="shared" si="3"/>
        <v>21438.559999999998</v>
      </c>
      <c r="I45" s="340">
        <f t="shared" si="3"/>
        <v>39187.340000000004</v>
      </c>
      <c r="J45" s="341">
        <f>ROUND(SUM(J7:J42),0)</f>
        <v>14154731</v>
      </c>
    </row>
    <row r="47" spans="1:16" hidden="1" x14ac:dyDescent="0.2">
      <c r="A47" s="28" t="s">
        <v>180</v>
      </c>
      <c r="B47" s="28"/>
      <c r="C47" s="33" t="s">
        <v>2</v>
      </c>
      <c r="D47" s="33" t="s">
        <v>2</v>
      </c>
      <c r="E47" s="33" t="s">
        <v>1</v>
      </c>
      <c r="F47" s="33" t="s">
        <v>1</v>
      </c>
      <c r="G47" s="33" t="s">
        <v>181</v>
      </c>
      <c r="H47" s="33" t="s">
        <v>181</v>
      </c>
      <c r="I47" s="33" t="s">
        <v>181</v>
      </c>
      <c r="J47" s="33" t="s">
        <v>181</v>
      </c>
    </row>
    <row r="48" spans="1:16" hidden="1" x14ac:dyDescent="0.2">
      <c r="C48" s="33" t="s">
        <v>158</v>
      </c>
      <c r="D48" s="33" t="s">
        <v>159</v>
      </c>
      <c r="E48" s="33" t="s">
        <v>158</v>
      </c>
      <c r="F48" s="33" t="s">
        <v>159</v>
      </c>
      <c r="G48" s="33" t="s">
        <v>158</v>
      </c>
      <c r="H48" s="33" t="s">
        <v>159</v>
      </c>
      <c r="I48" s="33" t="s">
        <v>160</v>
      </c>
      <c r="J48" s="33" t="s">
        <v>153</v>
      </c>
    </row>
  </sheetData>
  <mergeCells count="6">
    <mergeCell ref="A1:H1"/>
    <mergeCell ref="J4:J6"/>
    <mergeCell ref="C5:D5"/>
    <mergeCell ref="E5:F5"/>
    <mergeCell ref="C4:F4"/>
    <mergeCell ref="G4:I5"/>
  </mergeCells>
  <conditionalFormatting sqref="A1 D7 F7 F9 D9 D11:D45 F11:F45 C11 E11 E13 C13 C15 E15 E17 C17 C19 E19 E21 C21 C23 E23 E25 C25 C27 E27 E29 C29 C31 E31 E33 C33 C35 E35 E37 C37 C39 E39 E41 C41 C43 E43 E45 C45 G45 G43 G41 G39 G37 G35 G31 G29 G23 G21 G19 G17 G15 H12:J12 H14:J24 H26:J26 H28:J32 H34:J45">
    <cfRule type="cellIs" dxfId="1" priority="1" operator="equal">
      <formula>0</formula>
    </cfRule>
  </conditionalFormatting>
  <pageMargins left="0.70866141732283472" right="0.70866141732283472" top="0.74803149606299213" bottom="0.74803149606299213" header="0.31496062992125984" footer="0.31496062992125984"/>
  <pageSetup paperSize="9" scale="69" orientation="landscape" r:id="rId1"/>
  <ignoredErrors>
    <ignoredError sqref="A2:J45 A1 I1:J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AA104"/>
  <sheetViews>
    <sheetView showGridLines="0" zoomScaleNormal="100" workbookViewId="0">
      <pane xSplit="4" ySplit="5" topLeftCell="E6" activePane="bottomRight" state="frozen"/>
      <selection sqref="A1:M1"/>
      <selection pane="topRight" sqref="A1:M1"/>
      <selection pane="bottomLeft" sqref="A1:M1"/>
      <selection pane="bottomRight" sqref="A1:J1"/>
    </sheetView>
  </sheetViews>
  <sheetFormatPr defaultColWidth="9.140625" defaultRowHeight="13.5" x14ac:dyDescent="0.2"/>
  <cols>
    <col min="1" max="1" width="7.42578125" style="12" customWidth="1"/>
    <col min="2" max="2" width="10.42578125" style="12" customWidth="1"/>
    <col min="3" max="3" width="20.28515625" style="12" bestFit="1" customWidth="1"/>
    <col min="4" max="4" width="8.7109375" style="12" customWidth="1"/>
    <col min="5" max="5" width="13.5703125" style="12" customWidth="1"/>
    <col min="6" max="7" width="19" style="12" customWidth="1"/>
    <col min="8" max="8" width="18.5703125" style="12" customWidth="1"/>
    <col min="9" max="9" width="12" style="12" customWidth="1"/>
    <col min="10" max="10" width="13" style="12" customWidth="1"/>
    <col min="11" max="12" width="13.140625" style="12" customWidth="1"/>
    <col min="13" max="13" width="14.7109375" style="12" customWidth="1"/>
    <col min="14" max="14" width="11.42578125" style="12" customWidth="1"/>
    <col min="15" max="15" width="9.28515625" style="157" customWidth="1"/>
    <col min="16" max="16" width="23" style="12" customWidth="1"/>
    <col min="17" max="17" width="14" style="12" customWidth="1"/>
    <col min="18" max="18" width="12.7109375" style="12" customWidth="1"/>
    <col min="19" max="19" width="9.140625" style="12"/>
    <col min="20" max="20" width="11.140625" style="12" hidden="1" customWidth="1"/>
    <col min="21" max="21" width="8.28515625" style="12" hidden="1" customWidth="1"/>
    <col min="22" max="22" width="10.42578125" style="12" hidden="1" customWidth="1"/>
    <col min="23" max="23" width="8.85546875" style="12" hidden="1" customWidth="1"/>
    <col min="24" max="24" width="9.140625" style="12" customWidth="1"/>
    <col min="25" max="27" width="9.140625" style="12" hidden="1" customWidth="1"/>
    <col min="28" max="16384" width="9.140625" style="12"/>
  </cols>
  <sheetData>
    <row r="1" spans="1:27" ht="15.75" customHeight="1" x14ac:dyDescent="0.25">
      <c r="A1" s="524" t="str">
        <f>'A Summary'!J8</f>
        <v xml:space="preserve">Sector summary of all providers </v>
      </c>
      <c r="B1" s="524"/>
      <c r="C1" s="524"/>
      <c r="D1" s="524"/>
      <c r="E1" s="524"/>
      <c r="F1" s="524"/>
      <c r="G1" s="524"/>
      <c r="H1" s="524"/>
      <c r="I1" s="524"/>
      <c r="J1" s="524"/>
      <c r="K1" s="79"/>
      <c r="L1" s="79"/>
      <c r="M1" s="79"/>
      <c r="N1" s="12" t="str">
        <f>IF(FECHEALTHFLAG="No",DATE,"")</f>
        <v/>
      </c>
      <c r="R1" s="79" t="str">
        <f>IF(FECHEALTHFLAG="No","",DATE)</f>
        <v>October 2018</v>
      </c>
    </row>
    <row r="2" spans="1:27" ht="15" customHeight="1" x14ac:dyDescent="0.2">
      <c r="B2" s="13"/>
      <c r="C2" s="13"/>
      <c r="F2" s="23"/>
      <c r="G2" s="23"/>
      <c r="H2" s="23"/>
      <c r="I2" s="23"/>
      <c r="J2" s="23"/>
    </row>
    <row r="3" spans="1:27" ht="22.5" customHeight="1" thickBot="1" x14ac:dyDescent="0.25">
      <c r="A3" s="342" t="s">
        <v>220</v>
      </c>
      <c r="F3" s="23"/>
      <c r="G3" s="23"/>
      <c r="H3" s="23"/>
      <c r="I3" s="23"/>
      <c r="J3" s="23"/>
      <c r="P3" s="23"/>
      <c r="Q3" s="23"/>
      <c r="R3" s="132"/>
      <c r="S3" s="23"/>
    </row>
    <row r="4" spans="1:27" ht="15" customHeight="1" x14ac:dyDescent="0.2">
      <c r="A4" s="81"/>
      <c r="B4" s="343"/>
      <c r="C4" s="343"/>
      <c r="D4" s="82"/>
      <c r="E4" s="529" t="str">
        <f>AA7</f>
        <v>2017-18 FTEs from Tables 1, 2 and 3 of HESES17 and HEIFES17</v>
      </c>
      <c r="F4" s="531" t="str">
        <f>AA8</f>
        <v>Non-fundable UG 'Starters in 2016-17' FTEs from Tables 7a, 7b and 7c of HESES17 and HEIFES17</v>
      </c>
      <c r="G4" s="531" t="str">
        <f>AA9</f>
        <v>Non-fundable PGT 'Starters in 2017-18' FTEs from Tables 7a and 7c of HESES17 and HEIFES17</v>
      </c>
      <c r="H4" s="531" t="str">
        <f>AA10</f>
        <v>Non-fundable DHDT¹ 'Starters in 2017-18' FTEs from Tables 7a and 7c of HESES17 and HEIFES17</v>
      </c>
      <c r="I4" s="531" t="s">
        <v>46</v>
      </c>
      <c r="J4" s="531" t="s">
        <v>221</v>
      </c>
      <c r="K4" s="592" t="s">
        <v>55</v>
      </c>
      <c r="L4" s="594" t="s">
        <v>47</v>
      </c>
      <c r="M4" s="594" t="s">
        <v>282</v>
      </c>
      <c r="N4" s="594" t="s">
        <v>48</v>
      </c>
      <c r="O4" s="62"/>
      <c r="P4" s="528" t="str">
        <f>AA13</f>
        <v>Of which related to NMAH² funding transfer</v>
      </c>
      <c r="Q4" s="528"/>
      <c r="R4" s="528"/>
    </row>
    <row r="5" spans="1:27" s="85" customFormat="1" ht="69.75" customHeight="1" x14ac:dyDescent="0.2">
      <c r="A5" s="83" t="s">
        <v>13</v>
      </c>
      <c r="B5" s="83" t="s">
        <v>0</v>
      </c>
      <c r="C5" s="83" t="s">
        <v>5</v>
      </c>
      <c r="D5" s="84" t="s">
        <v>10</v>
      </c>
      <c r="E5" s="530"/>
      <c r="F5" s="532"/>
      <c r="G5" s="532"/>
      <c r="H5" s="532"/>
      <c r="I5" s="532"/>
      <c r="J5" s="532"/>
      <c r="K5" s="593"/>
      <c r="L5" s="595"/>
      <c r="M5" s="595"/>
      <c r="N5" s="595"/>
      <c r="O5" s="260"/>
      <c r="P5" s="86" t="str">
        <f>AA11</f>
        <v>Fundable UG 'Starters in 
2017-18' FTEs from Tables 7a and 7c of HESES17 and HEIFES17</v>
      </c>
      <c r="Q5" s="86" t="str">
        <f>AA14</f>
        <v>Total NMAH² FTEs for 
2018-19 
other targeted allocations</v>
      </c>
      <c r="R5" s="344" t="s">
        <v>48</v>
      </c>
      <c r="T5" s="345" t="s">
        <v>32</v>
      </c>
      <c r="U5" s="345" t="s">
        <v>33</v>
      </c>
      <c r="V5" s="345" t="s">
        <v>34</v>
      </c>
      <c r="W5" s="345" t="s">
        <v>35</v>
      </c>
      <c r="Y5" s="85" t="s">
        <v>229</v>
      </c>
    </row>
    <row r="6" spans="1:27" x14ac:dyDescent="0.2">
      <c r="A6" s="346" t="s">
        <v>7</v>
      </c>
      <c r="B6" s="346" t="s">
        <v>269</v>
      </c>
      <c r="C6" s="346" t="s">
        <v>6</v>
      </c>
      <c r="D6" s="347" t="s">
        <v>12</v>
      </c>
      <c r="E6" s="126">
        <v>14156.17</v>
      </c>
      <c r="F6" s="128">
        <v>0</v>
      </c>
      <c r="G6" s="128">
        <v>0</v>
      </c>
      <c r="H6" s="127">
        <v>116</v>
      </c>
      <c r="I6" s="127">
        <v>378</v>
      </c>
      <c r="J6" s="348">
        <v>14650.17</v>
      </c>
      <c r="K6" s="349">
        <v>0</v>
      </c>
      <c r="L6" s="350">
        <v>0</v>
      </c>
      <c r="M6" s="350">
        <v>0</v>
      </c>
      <c r="N6" s="351">
        <v>3771270.2993883002</v>
      </c>
      <c r="P6" s="128">
        <v>0</v>
      </c>
      <c r="Q6" s="127">
        <v>116</v>
      </c>
      <c r="R6" s="129">
        <v>9597.4598700000006</v>
      </c>
      <c r="T6" s="93" t="s">
        <v>7</v>
      </c>
      <c r="U6" s="93" t="s">
        <v>2</v>
      </c>
      <c r="V6" s="93" t="s">
        <v>6</v>
      </c>
      <c r="W6" s="93" t="s">
        <v>26</v>
      </c>
      <c r="Y6" s="95" t="s">
        <v>37</v>
      </c>
      <c r="AA6" s="13" t="s">
        <v>78</v>
      </c>
    </row>
    <row r="7" spans="1:27" x14ac:dyDescent="0.2">
      <c r="A7" s="157"/>
      <c r="B7" s="157"/>
      <c r="C7" s="352"/>
      <c r="D7" s="353" t="s">
        <v>11</v>
      </c>
      <c r="E7" s="103">
        <v>8767</v>
      </c>
      <c r="F7" s="104">
        <v>0</v>
      </c>
      <c r="G7" s="104">
        <v>0</v>
      </c>
      <c r="H7" s="106">
        <v>0</v>
      </c>
      <c r="I7" s="106">
        <v>32</v>
      </c>
      <c r="J7" s="354">
        <v>8799</v>
      </c>
      <c r="K7" s="355">
        <v>0</v>
      </c>
      <c r="L7" s="356">
        <v>0</v>
      </c>
      <c r="M7" s="356">
        <v>0</v>
      </c>
      <c r="N7" s="357">
        <v>2225544.30541</v>
      </c>
      <c r="P7" s="104">
        <v>0</v>
      </c>
      <c r="Q7" s="106">
        <v>0</v>
      </c>
      <c r="R7" s="107">
        <v>0</v>
      </c>
      <c r="T7" s="93" t="s">
        <v>7</v>
      </c>
      <c r="U7" s="93" t="s">
        <v>2</v>
      </c>
      <c r="V7" s="93" t="s">
        <v>6</v>
      </c>
      <c r="W7" s="93" t="s">
        <v>27</v>
      </c>
      <c r="Y7" s="95" t="s">
        <v>37</v>
      </c>
      <c r="AA7" s="12" t="str">
        <f>IF(HEIFLAG="No","2017-18 FTEs from Tables 1, 2 and 3 of HEIFES17",IF(HEIFLAG="Both","2017-18 FTEs from Tables 1, 2 and 3 of HESES17 and HEIFES17","2017-18 FTEs from Tables 1, 2 and 3 of HESES17"))</f>
        <v>2017-18 FTEs from Tables 1, 2 and 3 of HESES17 and HEIFES17</v>
      </c>
    </row>
    <row r="8" spans="1:27" x14ac:dyDescent="0.2">
      <c r="A8" s="157"/>
      <c r="B8" s="157"/>
      <c r="C8" s="358" t="str">
        <f>$AA$18</f>
        <v>PGT (Masters loan)</v>
      </c>
      <c r="D8" s="359" t="s">
        <v>12</v>
      </c>
      <c r="E8" s="111">
        <v>0</v>
      </c>
      <c r="F8" s="112">
        <v>0</v>
      </c>
      <c r="G8" s="112">
        <v>0</v>
      </c>
      <c r="H8" s="112">
        <v>0</v>
      </c>
      <c r="I8" s="115">
        <v>0</v>
      </c>
      <c r="J8" s="360">
        <v>0</v>
      </c>
      <c r="K8" s="361">
        <v>0</v>
      </c>
      <c r="L8" s="350">
        <v>0</v>
      </c>
      <c r="M8" s="350">
        <v>0</v>
      </c>
      <c r="N8" s="361">
        <v>0</v>
      </c>
      <c r="P8" s="112">
        <v>0</v>
      </c>
      <c r="Q8" s="112">
        <v>0</v>
      </c>
      <c r="R8" s="131">
        <v>0</v>
      </c>
      <c r="T8" s="93" t="s">
        <v>7</v>
      </c>
      <c r="U8" s="93" t="s">
        <v>2</v>
      </c>
      <c r="V8" s="93" t="s">
        <v>52</v>
      </c>
      <c r="W8" s="93" t="s">
        <v>26</v>
      </c>
      <c r="Y8" s="95" t="s">
        <v>37</v>
      </c>
      <c r="AA8" s="12" t="str">
        <f>IF(HEIFLAG="No","Non-fundable UG 'Starters in 2016-17' FTEs from Tables 7a, 7b and 7c of HEIFES17",IF(HEIFLAG="Both","Non-fundable UG 'Starters in 2016-17' FTEs from Tables 7a, 7b and 7c of HESES17 and HEIFES17","Non-fundable UG 'Starters in 2016-17' FTEs from Tables 7a, 7b and 7c of HESES17"))</f>
        <v>Non-fundable UG 'Starters in 2016-17' FTEs from Tables 7a, 7b and 7c of HESES17 and HEIFES17</v>
      </c>
    </row>
    <row r="9" spans="1:27" x14ac:dyDescent="0.2">
      <c r="A9" s="157"/>
      <c r="B9" s="157"/>
      <c r="C9" s="352"/>
      <c r="D9" s="353" t="s">
        <v>11</v>
      </c>
      <c r="E9" s="103">
        <v>1058.33</v>
      </c>
      <c r="F9" s="104">
        <v>0</v>
      </c>
      <c r="G9" s="104">
        <v>0</v>
      </c>
      <c r="H9" s="104">
        <v>0</v>
      </c>
      <c r="I9" s="106">
        <v>0</v>
      </c>
      <c r="J9" s="354">
        <v>1058.33</v>
      </c>
      <c r="K9" s="357">
        <v>582081.5</v>
      </c>
      <c r="L9" s="356">
        <v>0</v>
      </c>
      <c r="M9" s="356">
        <v>0</v>
      </c>
      <c r="N9" s="357">
        <v>968699.51055560005</v>
      </c>
      <c r="P9" s="104">
        <v>0</v>
      </c>
      <c r="Q9" s="104">
        <v>0</v>
      </c>
      <c r="R9" s="108">
        <v>0</v>
      </c>
      <c r="T9" s="93" t="s">
        <v>7</v>
      </c>
      <c r="U9" s="93" t="s">
        <v>2</v>
      </c>
      <c r="V9" s="93" t="s">
        <v>52</v>
      </c>
      <c r="W9" s="93" t="s">
        <v>27</v>
      </c>
      <c r="Y9" s="95" t="s">
        <v>37</v>
      </c>
      <c r="AA9" s="12" t="str">
        <f>IF(HEIFLAG="No","Non-fundable PG 'Starters in 2017-18' FTEs from Tables 7a and 7c of HEIFES17",IF(HEIFLAG="Both","Non-fundable PGT 'Starters in 2017-18' FTEs from Tables 7a and 7c of HESES17 and HEIFES17","Non-fundable PGT 'Starters in 2017-18' FTEs from Tables 7a and 7c of HESES17"))</f>
        <v>Non-fundable PGT 'Starters in 2017-18' FTEs from Tables 7a and 7c of HESES17 and HEIFES17</v>
      </c>
    </row>
    <row r="10" spans="1:27" x14ac:dyDescent="0.2">
      <c r="A10" s="157"/>
      <c r="B10" s="157"/>
      <c r="C10" s="358" t="str">
        <f>$AA$19</f>
        <v>PGT (Other)</v>
      </c>
      <c r="D10" s="359" t="s">
        <v>12</v>
      </c>
      <c r="E10" s="111">
        <v>42.69</v>
      </c>
      <c r="F10" s="112">
        <v>0</v>
      </c>
      <c r="G10" s="112">
        <v>0</v>
      </c>
      <c r="H10" s="112">
        <v>0</v>
      </c>
      <c r="I10" s="115">
        <v>0</v>
      </c>
      <c r="J10" s="360">
        <v>42.69</v>
      </c>
      <c r="K10" s="362">
        <v>46959</v>
      </c>
      <c r="L10" s="350">
        <v>0</v>
      </c>
      <c r="M10" s="350">
        <v>0</v>
      </c>
      <c r="N10" s="362">
        <v>8232.4877995999996</v>
      </c>
      <c r="P10" s="112">
        <v>0</v>
      </c>
      <c r="Q10" s="112">
        <v>0</v>
      </c>
      <c r="R10" s="131">
        <v>0</v>
      </c>
      <c r="T10" s="93" t="s">
        <v>7</v>
      </c>
      <c r="U10" s="93" t="s">
        <v>2</v>
      </c>
      <c r="V10" s="93" t="s">
        <v>53</v>
      </c>
      <c r="W10" s="93" t="s">
        <v>26</v>
      </c>
      <c r="Y10" s="95" t="s">
        <v>37</v>
      </c>
      <c r="AA10" s="12" t="str">
        <f>IF(HEIFLAG="No","Non-fundable DHDT¹ 'Starters in 2017-18' FTEs from Tables 7a and 7c of HEIFES17",IF(HEIFLAG="Both","Non-fundable DHDT¹ 'Starters in 2017-18' FTEs from Tables 7a and 7c of HESES17 and HEIFES17","Non-fundable DHDT¹ 'Starters in 2017-18' FTEs from Tables 7a and 7c of HESES17"))</f>
        <v>Non-fundable DHDT¹ 'Starters in 2017-18' FTEs from Tables 7a and 7c of HESES17 and HEIFES17</v>
      </c>
    </row>
    <row r="11" spans="1:27" x14ac:dyDescent="0.2">
      <c r="A11" s="157"/>
      <c r="B11" s="363"/>
      <c r="C11" s="363"/>
      <c r="D11" s="364" t="s">
        <v>11</v>
      </c>
      <c r="E11" s="365">
        <v>231.25</v>
      </c>
      <c r="F11" s="366">
        <v>0</v>
      </c>
      <c r="G11" s="366">
        <v>0</v>
      </c>
      <c r="H11" s="366">
        <v>0</v>
      </c>
      <c r="I11" s="367">
        <v>0</v>
      </c>
      <c r="J11" s="368">
        <v>231.25</v>
      </c>
      <c r="K11" s="369">
        <v>254375</v>
      </c>
      <c r="L11" s="370">
        <v>0</v>
      </c>
      <c r="M11" s="370">
        <v>0</v>
      </c>
      <c r="N11" s="369">
        <v>124317.35288999999</v>
      </c>
      <c r="P11" s="366">
        <v>0</v>
      </c>
      <c r="Q11" s="366">
        <v>0</v>
      </c>
      <c r="R11" s="371">
        <v>0</v>
      </c>
      <c r="T11" s="93" t="s">
        <v>7</v>
      </c>
      <c r="U11" s="93" t="s">
        <v>2</v>
      </c>
      <c r="V11" s="93" t="s">
        <v>53</v>
      </c>
      <c r="W11" s="93" t="s">
        <v>27</v>
      </c>
      <c r="Y11" s="95" t="s">
        <v>37</v>
      </c>
      <c r="AA11" s="12" t="str">
        <f>IF(HEIFLAG="No","Fundable UG 'Starters in 
2017-18' FTEs from Tables 7a and 7c of HEIFES17",IF(HEIFLAG="Both","Fundable UG 'Starters in 
2017-18' FTEs from Tables 7a and 7c of HESES17 and HEIFES17","Fundable UG 'Starters in 
2017-18' FTEs from Tables 7a and 7c of HESES17"))</f>
        <v>Fundable UG 'Starters in 
2017-18' FTEs from Tables 7a and 7c of HESES17 and HEIFES17</v>
      </c>
    </row>
    <row r="12" spans="1:27" x14ac:dyDescent="0.2">
      <c r="A12" s="157"/>
      <c r="B12" s="157" t="s">
        <v>274</v>
      </c>
      <c r="C12" s="157" t="s">
        <v>6</v>
      </c>
      <c r="D12" s="347" t="s">
        <v>12</v>
      </c>
      <c r="E12" s="126">
        <v>27.17</v>
      </c>
      <c r="F12" s="128">
        <v>0</v>
      </c>
      <c r="G12" s="128">
        <v>0</v>
      </c>
      <c r="H12" s="127">
        <v>2.3199999999999998</v>
      </c>
      <c r="I12" s="127">
        <v>-3.38</v>
      </c>
      <c r="J12" s="348">
        <v>26.11</v>
      </c>
      <c r="K12" s="349">
        <v>0</v>
      </c>
      <c r="L12" s="372">
        <v>0</v>
      </c>
      <c r="M12" s="372">
        <v>0</v>
      </c>
      <c r="N12" s="361">
        <v>642.51932769999996</v>
      </c>
      <c r="P12" s="128">
        <v>0</v>
      </c>
      <c r="Q12" s="127">
        <v>2.3199999999999998</v>
      </c>
      <c r="R12" s="129">
        <v>0</v>
      </c>
      <c r="T12" s="93" t="s">
        <v>7</v>
      </c>
      <c r="U12" s="93" t="s">
        <v>1</v>
      </c>
      <c r="V12" s="93" t="s">
        <v>6</v>
      </c>
      <c r="W12" s="93" t="s">
        <v>26</v>
      </c>
      <c r="Y12" s="95" t="s">
        <v>37</v>
      </c>
    </row>
    <row r="13" spans="1:27" x14ac:dyDescent="0.2">
      <c r="A13" s="157"/>
      <c r="B13" s="157"/>
      <c r="C13" s="352"/>
      <c r="D13" s="353" t="s">
        <v>11</v>
      </c>
      <c r="E13" s="103">
        <v>6.62</v>
      </c>
      <c r="F13" s="104">
        <v>0</v>
      </c>
      <c r="G13" s="104">
        <v>0</v>
      </c>
      <c r="H13" s="106">
        <v>0</v>
      </c>
      <c r="I13" s="106">
        <v>0</v>
      </c>
      <c r="J13" s="354">
        <v>6.62</v>
      </c>
      <c r="K13" s="355">
        <v>0</v>
      </c>
      <c r="L13" s="356">
        <v>0</v>
      </c>
      <c r="M13" s="356">
        <v>0</v>
      </c>
      <c r="N13" s="357">
        <v>3369.7747988000001</v>
      </c>
      <c r="P13" s="104">
        <v>0</v>
      </c>
      <c r="Q13" s="106">
        <v>0</v>
      </c>
      <c r="R13" s="107">
        <v>0</v>
      </c>
      <c r="T13" s="93" t="s">
        <v>7</v>
      </c>
      <c r="U13" s="93" t="s">
        <v>1</v>
      </c>
      <c r="V13" s="93" t="s">
        <v>6</v>
      </c>
      <c r="W13" s="93" t="s">
        <v>27</v>
      </c>
      <c r="Y13" s="95" t="s">
        <v>37</v>
      </c>
      <c r="AA13" s="12" t="str">
        <f>IF(HEIFLAG="No","Of which related to NMAH¹ funding transfer","Of which related to NMAH² funding transfer")</f>
        <v>Of which related to NMAH² funding transfer</v>
      </c>
    </row>
    <row r="14" spans="1:27" x14ac:dyDescent="0.2">
      <c r="A14" s="157"/>
      <c r="B14" s="157"/>
      <c r="C14" s="358" t="str">
        <f>$AA$18</f>
        <v>PGT (Masters loan)</v>
      </c>
      <c r="D14" s="359" t="s">
        <v>12</v>
      </c>
      <c r="E14" s="111">
        <v>0.36</v>
      </c>
      <c r="F14" s="112">
        <v>0</v>
      </c>
      <c r="G14" s="112">
        <v>0</v>
      </c>
      <c r="H14" s="112">
        <v>0</v>
      </c>
      <c r="I14" s="115">
        <v>0</v>
      </c>
      <c r="J14" s="360">
        <v>0.36</v>
      </c>
      <c r="K14" s="362">
        <v>198</v>
      </c>
      <c r="L14" s="350">
        <v>0</v>
      </c>
      <c r="M14" s="350">
        <v>0</v>
      </c>
      <c r="N14" s="362">
        <v>0</v>
      </c>
      <c r="P14" s="112">
        <v>0</v>
      </c>
      <c r="Q14" s="112">
        <v>0</v>
      </c>
      <c r="R14" s="131">
        <v>0</v>
      </c>
      <c r="T14" s="93" t="s">
        <v>7</v>
      </c>
      <c r="U14" s="93" t="s">
        <v>1</v>
      </c>
      <c r="V14" s="93" t="s">
        <v>52</v>
      </c>
      <c r="W14" s="93" t="s">
        <v>26</v>
      </c>
      <c r="Y14" s="95" t="s">
        <v>37</v>
      </c>
      <c r="AA14" s="12" t="str">
        <f>IF(HEIFLAG="No","Total NMAH¹ FTEs for 
2018-19 
other targeted allocations","Total NMAH² FTEs for 
2018-19 
other targeted allocations")</f>
        <v>Total NMAH² FTEs for 
2018-19 
other targeted allocations</v>
      </c>
    </row>
    <row r="15" spans="1:27" x14ac:dyDescent="0.2">
      <c r="A15" s="157"/>
      <c r="B15" s="157"/>
      <c r="C15" s="352"/>
      <c r="D15" s="353" t="s">
        <v>11</v>
      </c>
      <c r="E15" s="103">
        <v>379.29</v>
      </c>
      <c r="F15" s="104">
        <v>0</v>
      </c>
      <c r="G15" s="104">
        <v>0</v>
      </c>
      <c r="H15" s="104">
        <v>0</v>
      </c>
      <c r="I15" s="106">
        <v>0</v>
      </c>
      <c r="J15" s="354">
        <v>379.29</v>
      </c>
      <c r="K15" s="357">
        <v>208609.5</v>
      </c>
      <c r="L15" s="356">
        <v>0</v>
      </c>
      <c r="M15" s="356">
        <v>0</v>
      </c>
      <c r="N15" s="357">
        <v>241688.05588490001</v>
      </c>
      <c r="P15" s="104">
        <v>0</v>
      </c>
      <c r="Q15" s="104">
        <v>0</v>
      </c>
      <c r="R15" s="108">
        <v>0</v>
      </c>
      <c r="T15" s="93" t="s">
        <v>7</v>
      </c>
      <c r="U15" s="93" t="s">
        <v>1</v>
      </c>
      <c r="V15" s="93" t="s">
        <v>52</v>
      </c>
      <c r="W15" s="93" t="s">
        <v>27</v>
      </c>
      <c r="Y15" s="95" t="s">
        <v>37</v>
      </c>
    </row>
    <row r="16" spans="1:27" x14ac:dyDescent="0.2">
      <c r="A16" s="157"/>
      <c r="B16" s="157"/>
      <c r="C16" s="358" t="str">
        <f>$AA$19</f>
        <v>PGT (Other)</v>
      </c>
      <c r="D16" s="359" t="s">
        <v>12</v>
      </c>
      <c r="E16" s="111">
        <v>155.86000000000001</v>
      </c>
      <c r="F16" s="112">
        <v>0</v>
      </c>
      <c r="G16" s="112">
        <v>0</v>
      </c>
      <c r="H16" s="112">
        <v>0</v>
      </c>
      <c r="I16" s="115">
        <v>0</v>
      </c>
      <c r="J16" s="360">
        <v>155.86000000000001</v>
      </c>
      <c r="K16" s="362">
        <v>171446</v>
      </c>
      <c r="L16" s="350">
        <v>0</v>
      </c>
      <c r="M16" s="350">
        <v>0</v>
      </c>
      <c r="N16" s="362">
        <v>78653.200138500004</v>
      </c>
      <c r="P16" s="112">
        <v>0</v>
      </c>
      <c r="Q16" s="112">
        <v>0</v>
      </c>
      <c r="R16" s="131">
        <v>0</v>
      </c>
      <c r="T16" s="93" t="s">
        <v>7</v>
      </c>
      <c r="U16" s="93" t="s">
        <v>1</v>
      </c>
      <c r="V16" s="93" t="s">
        <v>53</v>
      </c>
      <c r="W16" s="93" t="s">
        <v>26</v>
      </c>
      <c r="Y16" s="95" t="s">
        <v>37</v>
      </c>
      <c r="AA16" s="13" t="s">
        <v>79</v>
      </c>
    </row>
    <row r="17" spans="1:27" x14ac:dyDescent="0.2">
      <c r="A17" s="373"/>
      <c r="B17" s="373"/>
      <c r="C17" s="373"/>
      <c r="D17" s="233" t="s">
        <v>11</v>
      </c>
      <c r="E17" s="120">
        <v>100.01</v>
      </c>
      <c r="F17" s="121">
        <v>0</v>
      </c>
      <c r="G17" s="121">
        <v>0</v>
      </c>
      <c r="H17" s="121">
        <v>0</v>
      </c>
      <c r="I17" s="123">
        <v>0</v>
      </c>
      <c r="J17" s="374">
        <v>100.01</v>
      </c>
      <c r="K17" s="357">
        <v>110011</v>
      </c>
      <c r="L17" s="356">
        <v>0</v>
      </c>
      <c r="M17" s="375">
        <v>0</v>
      </c>
      <c r="N17" s="357">
        <v>74593.590878500007</v>
      </c>
      <c r="P17" s="121">
        <v>0</v>
      </c>
      <c r="Q17" s="121">
        <v>0</v>
      </c>
      <c r="R17" s="125">
        <v>0</v>
      </c>
      <c r="T17" s="93" t="s">
        <v>7</v>
      </c>
      <c r="U17" s="93" t="s">
        <v>1</v>
      </c>
      <c r="V17" s="93" t="s">
        <v>53</v>
      </c>
      <c r="W17" s="93" t="s">
        <v>27</v>
      </c>
      <c r="Y17" s="95" t="s">
        <v>37</v>
      </c>
      <c r="AA17" s="12" t="str">
        <f>IF(HEIFLAG="No","PG (UG fee)","PGT (UG fee)")</f>
        <v>PGT (UG fee)</v>
      </c>
    </row>
    <row r="18" spans="1:27" x14ac:dyDescent="0.2">
      <c r="A18" s="346" t="s">
        <v>8</v>
      </c>
      <c r="B18" s="346" t="s">
        <v>269</v>
      </c>
      <c r="C18" s="157" t="s">
        <v>6</v>
      </c>
      <c r="D18" s="347" t="s">
        <v>12</v>
      </c>
      <c r="E18" s="126">
        <v>201805.72</v>
      </c>
      <c r="F18" s="127">
        <v>6905</v>
      </c>
      <c r="G18" s="128">
        <v>0</v>
      </c>
      <c r="H18" s="128">
        <v>0</v>
      </c>
      <c r="I18" s="127">
        <v>572.96</v>
      </c>
      <c r="J18" s="348">
        <v>209283.68</v>
      </c>
      <c r="K18" s="376">
        <v>0</v>
      </c>
      <c r="L18" s="377">
        <v>0</v>
      </c>
      <c r="M18" s="377">
        <v>0</v>
      </c>
      <c r="N18" s="351">
        <v>14063256.368171699</v>
      </c>
      <c r="P18" s="127">
        <v>7683</v>
      </c>
      <c r="Q18" s="127">
        <v>14588</v>
      </c>
      <c r="R18" s="129">
        <v>898487.93090000004</v>
      </c>
      <c r="T18" s="93" t="s">
        <v>8</v>
      </c>
      <c r="U18" s="93" t="s">
        <v>2</v>
      </c>
      <c r="V18" s="93" t="s">
        <v>6</v>
      </c>
      <c r="W18" s="93" t="s">
        <v>26</v>
      </c>
      <c r="Y18"/>
      <c r="AA18" s="12" t="str">
        <f>IF(HEIFLAG="No","PG (Masters loan)","PGT (Masters loan)")</f>
        <v>PGT (Masters loan)</v>
      </c>
    </row>
    <row r="19" spans="1:27" x14ac:dyDescent="0.2">
      <c r="A19" s="157"/>
      <c r="B19" s="157"/>
      <c r="C19" s="352"/>
      <c r="D19" s="353" t="s">
        <v>11</v>
      </c>
      <c r="E19" s="103">
        <v>67.349999999999994</v>
      </c>
      <c r="F19" s="106">
        <v>0</v>
      </c>
      <c r="G19" s="104">
        <v>0</v>
      </c>
      <c r="H19" s="104">
        <v>0</v>
      </c>
      <c r="I19" s="106">
        <v>0</v>
      </c>
      <c r="J19" s="354">
        <v>67.349999999999994</v>
      </c>
      <c r="K19" s="355">
        <v>0</v>
      </c>
      <c r="L19" s="356">
        <v>0</v>
      </c>
      <c r="M19" s="357">
        <v>96887.658519000004</v>
      </c>
      <c r="N19" s="357">
        <v>2311.6198800000002</v>
      </c>
      <c r="P19" s="106">
        <v>0</v>
      </c>
      <c r="Q19" s="106">
        <v>0</v>
      </c>
      <c r="R19" s="107">
        <v>0</v>
      </c>
      <c r="T19" s="93" t="s">
        <v>8</v>
      </c>
      <c r="U19" s="93" t="s">
        <v>2</v>
      </c>
      <c r="V19" s="93" t="s">
        <v>6</v>
      </c>
      <c r="W19" s="93" t="s">
        <v>27</v>
      </c>
      <c r="Y19"/>
      <c r="AA19" s="12" t="str">
        <f>IF(HEIFLAG="No","PG (Other)","PGT (Other)")</f>
        <v>PGT (Other)</v>
      </c>
    </row>
    <row r="20" spans="1:27" x14ac:dyDescent="0.2">
      <c r="A20" s="157"/>
      <c r="B20" s="157"/>
      <c r="C20" s="358" t="str">
        <f>$AA$17</f>
        <v>PGT (UG fee)</v>
      </c>
      <c r="D20" s="347" t="s">
        <v>12</v>
      </c>
      <c r="E20" s="111">
        <v>0</v>
      </c>
      <c r="F20" s="112">
        <v>0</v>
      </c>
      <c r="G20" s="115">
        <v>984</v>
      </c>
      <c r="H20" s="112">
        <v>0</v>
      </c>
      <c r="I20" s="115">
        <v>57</v>
      </c>
      <c r="J20" s="360">
        <v>1041</v>
      </c>
      <c r="K20" s="349">
        <v>0</v>
      </c>
      <c r="L20" s="350">
        <v>0</v>
      </c>
      <c r="M20" s="350">
        <v>0</v>
      </c>
      <c r="N20" s="361">
        <v>153516.66704999999</v>
      </c>
      <c r="P20" s="112">
        <v>0</v>
      </c>
      <c r="Q20" s="115">
        <v>984</v>
      </c>
      <c r="R20" s="116">
        <v>153516.66704999999</v>
      </c>
      <c r="T20" s="93" t="s">
        <v>8</v>
      </c>
      <c r="U20" s="93" t="s">
        <v>2</v>
      </c>
      <c r="V20" s="93" t="s">
        <v>36</v>
      </c>
      <c r="W20" s="93" t="s">
        <v>26</v>
      </c>
      <c r="Y20"/>
    </row>
    <row r="21" spans="1:27" x14ac:dyDescent="0.2">
      <c r="A21" s="157"/>
      <c r="B21" s="157"/>
      <c r="C21" s="352"/>
      <c r="D21" s="353" t="s">
        <v>11</v>
      </c>
      <c r="E21" s="103">
        <v>0</v>
      </c>
      <c r="F21" s="104">
        <v>0</v>
      </c>
      <c r="G21" s="106">
        <v>0</v>
      </c>
      <c r="H21" s="104">
        <v>0</v>
      </c>
      <c r="I21" s="106">
        <v>0</v>
      </c>
      <c r="J21" s="354">
        <v>0</v>
      </c>
      <c r="K21" s="355">
        <v>0</v>
      </c>
      <c r="L21" s="357">
        <v>0</v>
      </c>
      <c r="M21" s="356">
        <v>0</v>
      </c>
      <c r="N21" s="357">
        <v>0</v>
      </c>
      <c r="P21" s="104">
        <v>0</v>
      </c>
      <c r="Q21" s="106">
        <v>0</v>
      </c>
      <c r="R21" s="107">
        <v>0</v>
      </c>
      <c r="T21" s="93" t="s">
        <v>8</v>
      </c>
      <c r="U21" s="93" t="s">
        <v>2</v>
      </c>
      <c r="V21" s="93" t="s">
        <v>36</v>
      </c>
      <c r="W21" s="93" t="s">
        <v>27</v>
      </c>
      <c r="Y21"/>
    </row>
    <row r="22" spans="1:27" x14ac:dyDescent="0.2">
      <c r="A22" s="157"/>
      <c r="B22" s="157"/>
      <c r="C22" s="358" t="str">
        <f>$AA$18</f>
        <v>PGT (Masters loan)</v>
      </c>
      <c r="D22" s="359" t="s">
        <v>12</v>
      </c>
      <c r="E22" s="111">
        <v>912.19</v>
      </c>
      <c r="F22" s="112">
        <v>0</v>
      </c>
      <c r="G22" s="112">
        <v>0</v>
      </c>
      <c r="H22" s="112">
        <v>0</v>
      </c>
      <c r="I22" s="115">
        <v>-57</v>
      </c>
      <c r="J22" s="360">
        <v>855.19</v>
      </c>
      <c r="K22" s="361">
        <v>470354.5</v>
      </c>
      <c r="L22" s="349">
        <v>0</v>
      </c>
      <c r="M22" s="350">
        <v>0</v>
      </c>
      <c r="N22" s="361">
        <v>73291.021819500005</v>
      </c>
      <c r="P22" s="112">
        <v>0</v>
      </c>
      <c r="Q22" s="112">
        <v>0</v>
      </c>
      <c r="R22" s="131">
        <v>0</v>
      </c>
      <c r="T22" s="93" t="s">
        <v>8</v>
      </c>
      <c r="U22" s="93" t="s">
        <v>2</v>
      </c>
      <c r="V22" s="93" t="s">
        <v>52</v>
      </c>
      <c r="W22" s="93" t="s">
        <v>26</v>
      </c>
      <c r="Y22"/>
    </row>
    <row r="23" spans="1:27" x14ac:dyDescent="0.2">
      <c r="A23" s="157"/>
      <c r="B23" s="157"/>
      <c r="C23" s="352"/>
      <c r="D23" s="353" t="s">
        <v>11</v>
      </c>
      <c r="E23" s="103">
        <v>9224.39</v>
      </c>
      <c r="F23" s="104">
        <v>0</v>
      </c>
      <c r="G23" s="104">
        <v>0</v>
      </c>
      <c r="H23" s="104">
        <v>0</v>
      </c>
      <c r="I23" s="106">
        <v>0</v>
      </c>
      <c r="J23" s="354">
        <v>9224.39</v>
      </c>
      <c r="K23" s="357">
        <v>5073414.5</v>
      </c>
      <c r="L23" s="357">
        <v>10221482.172757801</v>
      </c>
      <c r="M23" s="356">
        <v>0</v>
      </c>
      <c r="N23" s="357">
        <v>1155598.5372454</v>
      </c>
      <c r="P23" s="104">
        <v>0</v>
      </c>
      <c r="Q23" s="104">
        <v>0</v>
      </c>
      <c r="R23" s="108">
        <v>0</v>
      </c>
      <c r="T23" s="93" t="s">
        <v>8</v>
      </c>
      <c r="U23" s="93" t="s">
        <v>2</v>
      </c>
      <c r="V23" s="93" t="s">
        <v>52</v>
      </c>
      <c r="W23" s="93" t="s">
        <v>27</v>
      </c>
      <c r="Y23"/>
    </row>
    <row r="24" spans="1:27" x14ac:dyDescent="0.2">
      <c r="A24" s="157"/>
      <c r="B24" s="157"/>
      <c r="C24" s="358" t="str">
        <f>$AA$19</f>
        <v>PGT (Other)</v>
      </c>
      <c r="D24" s="359" t="s">
        <v>12</v>
      </c>
      <c r="E24" s="111">
        <v>368.85</v>
      </c>
      <c r="F24" s="112">
        <v>0</v>
      </c>
      <c r="G24" s="112">
        <v>0</v>
      </c>
      <c r="H24" s="112">
        <v>0</v>
      </c>
      <c r="I24" s="115">
        <v>0</v>
      </c>
      <c r="J24" s="360">
        <v>368.85</v>
      </c>
      <c r="K24" s="362">
        <v>405735</v>
      </c>
      <c r="L24" s="350">
        <v>0</v>
      </c>
      <c r="M24" s="350">
        <v>0</v>
      </c>
      <c r="N24" s="362">
        <v>11403.292063999999</v>
      </c>
      <c r="P24" s="112">
        <v>0</v>
      </c>
      <c r="Q24" s="112">
        <v>0</v>
      </c>
      <c r="R24" s="131">
        <v>0</v>
      </c>
      <c r="T24" s="93" t="s">
        <v>8</v>
      </c>
      <c r="U24" s="93" t="s">
        <v>2</v>
      </c>
      <c r="V24" s="93" t="s">
        <v>53</v>
      </c>
      <c r="W24" s="93" t="s">
        <v>26</v>
      </c>
      <c r="Y24"/>
    </row>
    <row r="25" spans="1:27" x14ac:dyDescent="0.2">
      <c r="A25" s="157"/>
      <c r="B25" s="363"/>
      <c r="C25" s="363"/>
      <c r="D25" s="364" t="s">
        <v>11</v>
      </c>
      <c r="E25" s="365">
        <v>208.41</v>
      </c>
      <c r="F25" s="366">
        <v>0</v>
      </c>
      <c r="G25" s="366">
        <v>0</v>
      </c>
      <c r="H25" s="366">
        <v>0</v>
      </c>
      <c r="I25" s="367">
        <v>2</v>
      </c>
      <c r="J25" s="368">
        <v>210.41</v>
      </c>
      <c r="K25" s="369">
        <v>231451</v>
      </c>
      <c r="L25" s="369">
        <v>233153.8523382</v>
      </c>
      <c r="M25" s="370">
        <v>0</v>
      </c>
      <c r="N25" s="369">
        <v>283.40030000000002</v>
      </c>
      <c r="P25" s="366">
        <v>0</v>
      </c>
      <c r="Q25" s="366">
        <v>0</v>
      </c>
      <c r="R25" s="371">
        <v>0</v>
      </c>
      <c r="T25" s="93" t="s">
        <v>8</v>
      </c>
      <c r="U25" s="93" t="s">
        <v>2</v>
      </c>
      <c r="V25" s="93" t="s">
        <v>53</v>
      </c>
      <c r="W25" s="93" t="s">
        <v>27</v>
      </c>
      <c r="Y25"/>
    </row>
    <row r="26" spans="1:27" x14ac:dyDescent="0.2">
      <c r="A26" s="157"/>
      <c r="B26" s="157" t="s">
        <v>274</v>
      </c>
      <c r="C26" s="157" t="s">
        <v>6</v>
      </c>
      <c r="D26" s="347" t="s">
        <v>12</v>
      </c>
      <c r="E26" s="126">
        <v>15682.92</v>
      </c>
      <c r="F26" s="127">
        <v>121.94</v>
      </c>
      <c r="G26" s="128">
        <v>0</v>
      </c>
      <c r="H26" s="128">
        <v>0</v>
      </c>
      <c r="I26" s="127">
        <v>28.16</v>
      </c>
      <c r="J26" s="348">
        <v>15833.02</v>
      </c>
      <c r="K26" s="349">
        <v>0</v>
      </c>
      <c r="L26" s="372">
        <v>0</v>
      </c>
      <c r="M26" s="372">
        <v>0</v>
      </c>
      <c r="N26" s="361">
        <v>598906.58586360002</v>
      </c>
      <c r="P26" s="127">
        <v>52.84</v>
      </c>
      <c r="Q26" s="127">
        <v>174.78</v>
      </c>
      <c r="R26" s="129">
        <v>16260.945629100001</v>
      </c>
      <c r="T26" s="93" t="s">
        <v>8</v>
      </c>
      <c r="U26" s="93" t="s">
        <v>1</v>
      </c>
      <c r="V26" s="93" t="s">
        <v>6</v>
      </c>
      <c r="W26" s="93" t="s">
        <v>26</v>
      </c>
      <c r="Y26"/>
    </row>
    <row r="27" spans="1:27" x14ac:dyDescent="0.2">
      <c r="A27" s="157"/>
      <c r="B27" s="157"/>
      <c r="C27" s="352"/>
      <c r="D27" s="353" t="s">
        <v>11</v>
      </c>
      <c r="E27" s="103">
        <v>11.89</v>
      </c>
      <c r="F27" s="106">
        <v>0</v>
      </c>
      <c r="G27" s="104">
        <v>0</v>
      </c>
      <c r="H27" s="104">
        <v>0</v>
      </c>
      <c r="I27" s="106">
        <v>0</v>
      </c>
      <c r="J27" s="354">
        <v>11.89</v>
      </c>
      <c r="K27" s="355">
        <v>0</v>
      </c>
      <c r="L27" s="356">
        <v>0</v>
      </c>
      <c r="M27" s="356">
        <v>0</v>
      </c>
      <c r="N27" s="357">
        <v>815.86584000000005</v>
      </c>
      <c r="P27" s="106">
        <v>0</v>
      </c>
      <c r="Q27" s="106">
        <v>0</v>
      </c>
      <c r="R27" s="107">
        <v>0</v>
      </c>
      <c r="T27" s="93" t="s">
        <v>8</v>
      </c>
      <c r="U27" s="93" t="s">
        <v>1</v>
      </c>
      <c r="V27" s="93" t="s">
        <v>6</v>
      </c>
      <c r="W27" s="93" t="s">
        <v>27</v>
      </c>
      <c r="Y27"/>
    </row>
    <row r="28" spans="1:27" x14ac:dyDescent="0.2">
      <c r="A28" s="157"/>
      <c r="B28" s="157"/>
      <c r="C28" s="358" t="str">
        <f>$AA$17</f>
        <v>PGT (UG fee)</v>
      </c>
      <c r="D28" s="347" t="s">
        <v>12</v>
      </c>
      <c r="E28" s="111">
        <v>0</v>
      </c>
      <c r="F28" s="112">
        <v>0</v>
      </c>
      <c r="G28" s="115">
        <v>1.43</v>
      </c>
      <c r="H28" s="112">
        <v>0</v>
      </c>
      <c r="I28" s="115">
        <v>0</v>
      </c>
      <c r="J28" s="360">
        <v>1.43</v>
      </c>
      <c r="K28" s="378">
        <v>0</v>
      </c>
      <c r="L28" s="350">
        <v>0</v>
      </c>
      <c r="M28" s="350">
        <v>0</v>
      </c>
      <c r="N28" s="362">
        <v>0</v>
      </c>
      <c r="P28" s="112">
        <v>0</v>
      </c>
      <c r="Q28" s="115">
        <v>1.43</v>
      </c>
      <c r="R28" s="116">
        <v>0</v>
      </c>
      <c r="T28" s="93" t="s">
        <v>8</v>
      </c>
      <c r="U28" s="93" t="s">
        <v>1</v>
      </c>
      <c r="V28" s="93" t="s">
        <v>36</v>
      </c>
      <c r="W28" s="93" t="s">
        <v>26</v>
      </c>
      <c r="Y28"/>
    </row>
    <row r="29" spans="1:27" x14ac:dyDescent="0.2">
      <c r="A29" s="157"/>
      <c r="B29" s="157"/>
      <c r="C29" s="352"/>
      <c r="D29" s="353" t="s">
        <v>11</v>
      </c>
      <c r="E29" s="103">
        <v>0</v>
      </c>
      <c r="F29" s="104">
        <v>0</v>
      </c>
      <c r="G29" s="106">
        <v>0</v>
      </c>
      <c r="H29" s="104">
        <v>0</v>
      </c>
      <c r="I29" s="106">
        <v>0</v>
      </c>
      <c r="J29" s="354">
        <v>0</v>
      </c>
      <c r="K29" s="355">
        <v>0</v>
      </c>
      <c r="L29" s="357">
        <v>0</v>
      </c>
      <c r="M29" s="356">
        <v>0</v>
      </c>
      <c r="N29" s="357">
        <v>0</v>
      </c>
      <c r="P29" s="104">
        <v>0</v>
      </c>
      <c r="Q29" s="106">
        <v>0</v>
      </c>
      <c r="R29" s="107">
        <v>0</v>
      </c>
      <c r="T29" s="93" t="s">
        <v>8</v>
      </c>
      <c r="U29" s="93" t="s">
        <v>1</v>
      </c>
      <c r="V29" s="93" t="s">
        <v>36</v>
      </c>
      <c r="W29" s="93" t="s">
        <v>27</v>
      </c>
      <c r="Y29"/>
    </row>
    <row r="30" spans="1:27" x14ac:dyDescent="0.2">
      <c r="A30" s="157"/>
      <c r="B30" s="157"/>
      <c r="C30" s="358" t="str">
        <f>$AA$18</f>
        <v>PGT (Masters loan)</v>
      </c>
      <c r="D30" s="359" t="s">
        <v>12</v>
      </c>
      <c r="E30" s="111">
        <v>455.91</v>
      </c>
      <c r="F30" s="112">
        <v>0</v>
      </c>
      <c r="G30" s="112">
        <v>0</v>
      </c>
      <c r="H30" s="112">
        <v>0</v>
      </c>
      <c r="I30" s="115">
        <v>0</v>
      </c>
      <c r="J30" s="360">
        <v>455.91</v>
      </c>
      <c r="K30" s="361">
        <v>250750.5</v>
      </c>
      <c r="L30" s="349">
        <v>0</v>
      </c>
      <c r="M30" s="350">
        <v>0</v>
      </c>
      <c r="N30" s="362">
        <v>25342.798937200001</v>
      </c>
      <c r="P30" s="112">
        <v>0</v>
      </c>
      <c r="Q30" s="112">
        <v>0</v>
      </c>
      <c r="R30" s="131">
        <v>0</v>
      </c>
      <c r="T30" s="93" t="s">
        <v>8</v>
      </c>
      <c r="U30" s="93" t="s">
        <v>1</v>
      </c>
      <c r="V30" s="93" t="s">
        <v>52</v>
      </c>
      <c r="W30" s="93" t="s">
        <v>26</v>
      </c>
      <c r="Y30"/>
    </row>
    <row r="31" spans="1:27" x14ac:dyDescent="0.2">
      <c r="A31" s="157"/>
      <c r="B31" s="157"/>
      <c r="C31" s="352"/>
      <c r="D31" s="353" t="s">
        <v>11</v>
      </c>
      <c r="E31" s="103">
        <v>1954.92</v>
      </c>
      <c r="F31" s="104">
        <v>0</v>
      </c>
      <c r="G31" s="104">
        <v>0</v>
      </c>
      <c r="H31" s="104">
        <v>0</v>
      </c>
      <c r="I31" s="106">
        <v>0</v>
      </c>
      <c r="J31" s="354">
        <v>1954.92</v>
      </c>
      <c r="K31" s="357">
        <v>1075206</v>
      </c>
      <c r="L31" s="357">
        <v>2166233.2066584001</v>
      </c>
      <c r="M31" s="356">
        <v>0</v>
      </c>
      <c r="N31" s="357">
        <v>260014.74444420001</v>
      </c>
      <c r="P31" s="104">
        <v>0</v>
      </c>
      <c r="Q31" s="104">
        <v>0</v>
      </c>
      <c r="R31" s="108">
        <v>0</v>
      </c>
      <c r="T31" s="93" t="s">
        <v>8</v>
      </c>
      <c r="U31" s="93" t="s">
        <v>1</v>
      </c>
      <c r="V31" s="93" t="s">
        <v>52</v>
      </c>
      <c r="W31" s="93" t="s">
        <v>27</v>
      </c>
      <c r="Y31"/>
    </row>
    <row r="32" spans="1:27" x14ac:dyDescent="0.2">
      <c r="A32" s="157"/>
      <c r="B32" s="157"/>
      <c r="C32" s="358" t="str">
        <f>$AA$19</f>
        <v>PGT (Other)</v>
      </c>
      <c r="D32" s="359" t="s">
        <v>12</v>
      </c>
      <c r="E32" s="111">
        <v>1054.28</v>
      </c>
      <c r="F32" s="112">
        <v>0</v>
      </c>
      <c r="G32" s="112">
        <v>0</v>
      </c>
      <c r="H32" s="112">
        <v>0</v>
      </c>
      <c r="I32" s="115">
        <v>0</v>
      </c>
      <c r="J32" s="360">
        <v>1054.28</v>
      </c>
      <c r="K32" s="362">
        <v>1159708</v>
      </c>
      <c r="L32" s="350">
        <v>0</v>
      </c>
      <c r="M32" s="350">
        <v>0</v>
      </c>
      <c r="N32" s="362">
        <v>76169.304713599995</v>
      </c>
      <c r="P32" s="112">
        <v>0</v>
      </c>
      <c r="Q32" s="112">
        <v>0</v>
      </c>
      <c r="R32" s="131">
        <v>0</v>
      </c>
      <c r="T32" s="93" t="s">
        <v>8</v>
      </c>
      <c r="U32" s="93" t="s">
        <v>1</v>
      </c>
      <c r="V32" s="93" t="s">
        <v>53</v>
      </c>
      <c r="W32" s="93" t="s">
        <v>26</v>
      </c>
      <c r="Y32"/>
    </row>
    <row r="33" spans="1:25" x14ac:dyDescent="0.2">
      <c r="A33" s="373"/>
      <c r="B33" s="373"/>
      <c r="C33" s="373"/>
      <c r="D33" s="233" t="s">
        <v>11</v>
      </c>
      <c r="E33" s="120">
        <v>710.28</v>
      </c>
      <c r="F33" s="121">
        <v>0</v>
      </c>
      <c r="G33" s="121">
        <v>0</v>
      </c>
      <c r="H33" s="121">
        <v>0</v>
      </c>
      <c r="I33" s="123">
        <v>-0.5</v>
      </c>
      <c r="J33" s="374">
        <v>709.78</v>
      </c>
      <c r="K33" s="379">
        <v>780758</v>
      </c>
      <c r="L33" s="379">
        <v>786502.26373560005</v>
      </c>
      <c r="M33" s="375">
        <v>0</v>
      </c>
      <c r="N33" s="357">
        <v>89787.916425599993</v>
      </c>
      <c r="P33" s="121">
        <v>0</v>
      </c>
      <c r="Q33" s="121">
        <v>0</v>
      </c>
      <c r="R33" s="125">
        <v>0</v>
      </c>
      <c r="T33" s="93" t="s">
        <v>8</v>
      </c>
      <c r="U33" s="93" t="s">
        <v>1</v>
      </c>
      <c r="V33" s="93" t="s">
        <v>53</v>
      </c>
      <c r="W33" s="93" t="s">
        <v>27</v>
      </c>
      <c r="Y33"/>
    </row>
    <row r="34" spans="1:25" x14ac:dyDescent="0.2">
      <c r="A34" s="346" t="s">
        <v>29</v>
      </c>
      <c r="B34" s="157" t="s">
        <v>269</v>
      </c>
      <c r="C34" s="157" t="s">
        <v>6</v>
      </c>
      <c r="D34" s="347" t="s">
        <v>12</v>
      </c>
      <c r="E34" s="126">
        <v>199478.43</v>
      </c>
      <c r="F34" s="127">
        <v>15627</v>
      </c>
      <c r="G34" s="128">
        <v>0</v>
      </c>
      <c r="H34" s="128">
        <v>0</v>
      </c>
      <c r="I34" s="127">
        <v>58</v>
      </c>
      <c r="J34" s="348">
        <v>215163.43</v>
      </c>
      <c r="K34" s="376">
        <v>0</v>
      </c>
      <c r="L34" s="377">
        <v>0</v>
      </c>
      <c r="M34" s="377">
        <v>0</v>
      </c>
      <c r="N34" s="351">
        <v>12828899.8183208</v>
      </c>
      <c r="P34" s="127">
        <v>16781</v>
      </c>
      <c r="Q34" s="127">
        <v>32408</v>
      </c>
      <c r="R34" s="129">
        <v>1239314.0198299999</v>
      </c>
      <c r="T34" s="93" t="s">
        <v>29</v>
      </c>
      <c r="U34" s="93" t="s">
        <v>2</v>
      </c>
      <c r="V34" s="93" t="s">
        <v>6</v>
      </c>
      <c r="W34" s="93" t="s">
        <v>26</v>
      </c>
      <c r="Y34"/>
    </row>
    <row r="35" spans="1:25" x14ac:dyDescent="0.2">
      <c r="A35" s="157"/>
      <c r="B35" s="157"/>
      <c r="C35" s="352"/>
      <c r="D35" s="353" t="s">
        <v>11</v>
      </c>
      <c r="E35" s="103">
        <v>195.8</v>
      </c>
      <c r="F35" s="106">
        <v>0</v>
      </c>
      <c r="G35" s="104">
        <v>0</v>
      </c>
      <c r="H35" s="104">
        <v>0</v>
      </c>
      <c r="I35" s="106">
        <v>0</v>
      </c>
      <c r="J35" s="354">
        <v>195.8</v>
      </c>
      <c r="K35" s="355">
        <v>0</v>
      </c>
      <c r="L35" s="356">
        <v>0</v>
      </c>
      <c r="M35" s="357">
        <v>215396.171122</v>
      </c>
      <c r="N35" s="357">
        <v>0</v>
      </c>
      <c r="P35" s="106">
        <v>0</v>
      </c>
      <c r="Q35" s="106">
        <v>0</v>
      </c>
      <c r="R35" s="107">
        <v>0</v>
      </c>
      <c r="T35" s="93" t="s">
        <v>29</v>
      </c>
      <c r="U35" s="93" t="s">
        <v>2</v>
      </c>
      <c r="V35" s="93" t="s">
        <v>6</v>
      </c>
      <c r="W35" s="93" t="s">
        <v>27</v>
      </c>
      <c r="Y35"/>
    </row>
    <row r="36" spans="1:25" x14ac:dyDescent="0.2">
      <c r="A36" s="157"/>
      <c r="B36" s="157"/>
      <c r="C36" s="358" t="str">
        <f>$AA$17</f>
        <v>PGT (UG fee)</v>
      </c>
      <c r="D36" s="347" t="s">
        <v>12</v>
      </c>
      <c r="E36" s="111">
        <v>1.35</v>
      </c>
      <c r="F36" s="112">
        <v>0</v>
      </c>
      <c r="G36" s="115">
        <v>1545</v>
      </c>
      <c r="H36" s="112">
        <v>0</v>
      </c>
      <c r="I36" s="115">
        <v>0</v>
      </c>
      <c r="J36" s="360">
        <v>1546.35</v>
      </c>
      <c r="K36" s="349">
        <v>0</v>
      </c>
      <c r="L36" s="350">
        <v>0</v>
      </c>
      <c r="M36" s="350">
        <v>0</v>
      </c>
      <c r="N36" s="361">
        <v>193423.42444999999</v>
      </c>
      <c r="P36" s="112">
        <v>0</v>
      </c>
      <c r="Q36" s="115">
        <v>1545</v>
      </c>
      <c r="R36" s="116">
        <v>193423.42444999999</v>
      </c>
      <c r="T36" s="93" t="s">
        <v>29</v>
      </c>
      <c r="U36" s="93" t="s">
        <v>2</v>
      </c>
      <c r="V36" s="93" t="s">
        <v>36</v>
      </c>
      <c r="W36" s="93" t="s">
        <v>26</v>
      </c>
      <c r="Y36"/>
    </row>
    <row r="37" spans="1:25" x14ac:dyDescent="0.2">
      <c r="A37" s="157"/>
      <c r="B37" s="157"/>
      <c r="C37" s="352"/>
      <c r="D37" s="353" t="s">
        <v>11</v>
      </c>
      <c r="E37" s="103">
        <v>0</v>
      </c>
      <c r="F37" s="104">
        <v>0</v>
      </c>
      <c r="G37" s="106">
        <v>0</v>
      </c>
      <c r="H37" s="104">
        <v>0</v>
      </c>
      <c r="I37" s="106">
        <v>0</v>
      </c>
      <c r="J37" s="354">
        <v>0</v>
      </c>
      <c r="K37" s="355">
        <v>0</v>
      </c>
      <c r="L37" s="357">
        <v>0</v>
      </c>
      <c r="M37" s="356">
        <v>0</v>
      </c>
      <c r="N37" s="357">
        <v>0</v>
      </c>
      <c r="P37" s="104">
        <v>0</v>
      </c>
      <c r="Q37" s="106">
        <v>0</v>
      </c>
      <c r="R37" s="107">
        <v>0</v>
      </c>
      <c r="T37" s="93" t="s">
        <v>29</v>
      </c>
      <c r="U37" s="93" t="s">
        <v>2</v>
      </c>
      <c r="V37" s="93" t="s">
        <v>36</v>
      </c>
      <c r="W37" s="93" t="s">
        <v>27</v>
      </c>
      <c r="Y37"/>
    </row>
    <row r="38" spans="1:25" x14ac:dyDescent="0.2">
      <c r="A38" s="157"/>
      <c r="B38" s="157"/>
      <c r="C38" s="358" t="str">
        <f>$AA$18</f>
        <v>PGT (Masters loan)</v>
      </c>
      <c r="D38" s="359" t="s">
        <v>12</v>
      </c>
      <c r="E38" s="111">
        <v>2656.2</v>
      </c>
      <c r="F38" s="112">
        <v>0</v>
      </c>
      <c r="G38" s="112">
        <v>0</v>
      </c>
      <c r="H38" s="112">
        <v>0</v>
      </c>
      <c r="I38" s="115">
        <v>0</v>
      </c>
      <c r="J38" s="360">
        <v>2656.2</v>
      </c>
      <c r="K38" s="361">
        <v>1460910</v>
      </c>
      <c r="L38" s="349">
        <v>0</v>
      </c>
      <c r="M38" s="350">
        <v>0</v>
      </c>
      <c r="N38" s="361">
        <v>541759.09720419999</v>
      </c>
      <c r="P38" s="112">
        <v>0</v>
      </c>
      <c r="Q38" s="112">
        <v>0</v>
      </c>
      <c r="R38" s="131">
        <v>0</v>
      </c>
      <c r="T38" s="93" t="s">
        <v>29</v>
      </c>
      <c r="U38" s="93" t="s">
        <v>2</v>
      </c>
      <c r="V38" s="93" t="s">
        <v>52</v>
      </c>
      <c r="W38" s="93" t="s">
        <v>26</v>
      </c>
      <c r="Y38"/>
    </row>
    <row r="39" spans="1:25" x14ac:dyDescent="0.2">
      <c r="A39" s="157"/>
      <c r="B39" s="157"/>
      <c r="C39" s="352"/>
      <c r="D39" s="353" t="s">
        <v>11</v>
      </c>
      <c r="E39" s="103">
        <v>8182.65</v>
      </c>
      <c r="F39" s="104">
        <v>0</v>
      </c>
      <c r="G39" s="104">
        <v>0</v>
      </c>
      <c r="H39" s="104">
        <v>0</v>
      </c>
      <c r="I39" s="106">
        <v>0</v>
      </c>
      <c r="J39" s="354">
        <v>8182.65</v>
      </c>
      <c r="K39" s="357">
        <v>4500457.5</v>
      </c>
      <c r="L39" s="357">
        <v>6933693.2629124997</v>
      </c>
      <c r="M39" s="356">
        <v>0</v>
      </c>
      <c r="N39" s="357">
        <v>1148596.8110619001</v>
      </c>
      <c r="P39" s="104">
        <v>0</v>
      </c>
      <c r="Q39" s="104">
        <v>0</v>
      </c>
      <c r="R39" s="108">
        <v>0</v>
      </c>
      <c r="T39" s="93" t="s">
        <v>29</v>
      </c>
      <c r="U39" s="93" t="s">
        <v>2</v>
      </c>
      <c r="V39" s="93" t="s">
        <v>52</v>
      </c>
      <c r="W39" s="93" t="s">
        <v>27</v>
      </c>
      <c r="Y39"/>
    </row>
    <row r="40" spans="1:25" x14ac:dyDescent="0.2">
      <c r="A40" s="157"/>
      <c r="B40" s="157"/>
      <c r="C40" s="358" t="str">
        <f>$AA$19</f>
        <v>PGT (Other)</v>
      </c>
      <c r="D40" s="359" t="s">
        <v>12</v>
      </c>
      <c r="E40" s="111">
        <v>208.27</v>
      </c>
      <c r="F40" s="112">
        <v>0</v>
      </c>
      <c r="G40" s="112">
        <v>0</v>
      </c>
      <c r="H40" s="112">
        <v>0</v>
      </c>
      <c r="I40" s="115">
        <v>0</v>
      </c>
      <c r="J40" s="360">
        <v>208.27</v>
      </c>
      <c r="K40" s="362">
        <v>229097</v>
      </c>
      <c r="L40" s="350">
        <v>0</v>
      </c>
      <c r="M40" s="350">
        <v>0</v>
      </c>
      <c r="N40" s="362">
        <v>48123.386066899999</v>
      </c>
      <c r="P40" s="112">
        <v>0</v>
      </c>
      <c r="Q40" s="112">
        <v>0</v>
      </c>
      <c r="R40" s="131">
        <v>0</v>
      </c>
      <c r="T40" s="93" t="s">
        <v>29</v>
      </c>
      <c r="U40" s="93" t="s">
        <v>2</v>
      </c>
      <c r="V40" s="93" t="s">
        <v>53</v>
      </c>
      <c r="W40" s="93" t="s">
        <v>26</v>
      </c>
      <c r="Y40"/>
    </row>
    <row r="41" spans="1:25" x14ac:dyDescent="0.2">
      <c r="A41" s="157"/>
      <c r="B41" s="363"/>
      <c r="C41" s="363"/>
      <c r="D41" s="364" t="s">
        <v>11</v>
      </c>
      <c r="E41" s="365">
        <v>177.48</v>
      </c>
      <c r="F41" s="366">
        <v>0</v>
      </c>
      <c r="G41" s="366">
        <v>0</v>
      </c>
      <c r="H41" s="366">
        <v>0</v>
      </c>
      <c r="I41" s="367">
        <v>0</v>
      </c>
      <c r="J41" s="368">
        <v>177.48</v>
      </c>
      <c r="K41" s="369">
        <v>195228</v>
      </c>
      <c r="L41" s="369">
        <v>150390.38456999999</v>
      </c>
      <c r="M41" s="370">
        <v>0</v>
      </c>
      <c r="N41" s="369">
        <v>19296.653170000001</v>
      </c>
      <c r="P41" s="366">
        <v>0</v>
      </c>
      <c r="Q41" s="366">
        <v>0</v>
      </c>
      <c r="R41" s="371">
        <v>0</v>
      </c>
      <c r="T41" s="93" t="s">
        <v>29</v>
      </c>
      <c r="U41" s="93" t="s">
        <v>2</v>
      </c>
      <c r="V41" s="93" t="s">
        <v>53</v>
      </c>
      <c r="W41" s="93" t="s">
        <v>27</v>
      </c>
      <c r="Y41"/>
    </row>
    <row r="42" spans="1:25" x14ac:dyDescent="0.2">
      <c r="A42" s="157"/>
      <c r="B42" s="157" t="s">
        <v>274</v>
      </c>
      <c r="C42" s="157" t="s">
        <v>6</v>
      </c>
      <c r="D42" s="347" t="s">
        <v>12</v>
      </c>
      <c r="E42" s="126">
        <v>5202.3</v>
      </c>
      <c r="F42" s="127">
        <v>172.66</v>
      </c>
      <c r="G42" s="128">
        <v>0</v>
      </c>
      <c r="H42" s="128">
        <v>0</v>
      </c>
      <c r="I42" s="127">
        <v>10.17</v>
      </c>
      <c r="J42" s="348">
        <v>5385.13</v>
      </c>
      <c r="K42" s="349">
        <v>0</v>
      </c>
      <c r="L42" s="372">
        <v>0</v>
      </c>
      <c r="M42" s="372">
        <v>0</v>
      </c>
      <c r="N42" s="361">
        <v>239511.379028</v>
      </c>
      <c r="P42" s="127">
        <v>59.35</v>
      </c>
      <c r="Q42" s="127">
        <v>232.01</v>
      </c>
      <c r="R42" s="129">
        <v>1999.6797277000001</v>
      </c>
      <c r="T42" s="93" t="s">
        <v>29</v>
      </c>
      <c r="U42" s="93" t="s">
        <v>1</v>
      </c>
      <c r="V42" s="93" t="s">
        <v>6</v>
      </c>
      <c r="W42" s="93" t="s">
        <v>26</v>
      </c>
      <c r="Y42"/>
    </row>
    <row r="43" spans="1:25" x14ac:dyDescent="0.2">
      <c r="A43" s="157"/>
      <c r="B43" s="157"/>
      <c r="C43" s="352"/>
      <c r="D43" s="353" t="s">
        <v>11</v>
      </c>
      <c r="E43" s="103">
        <v>43.22</v>
      </c>
      <c r="F43" s="106">
        <v>0</v>
      </c>
      <c r="G43" s="104">
        <v>0</v>
      </c>
      <c r="H43" s="104">
        <v>0</v>
      </c>
      <c r="I43" s="106">
        <v>0</v>
      </c>
      <c r="J43" s="354">
        <v>43.22</v>
      </c>
      <c r="K43" s="355">
        <v>0</v>
      </c>
      <c r="L43" s="356">
        <v>0</v>
      </c>
      <c r="M43" s="356">
        <v>0</v>
      </c>
      <c r="N43" s="357">
        <v>0</v>
      </c>
      <c r="P43" s="106">
        <v>0</v>
      </c>
      <c r="Q43" s="106">
        <v>0</v>
      </c>
      <c r="R43" s="107">
        <v>0</v>
      </c>
      <c r="T43" s="93" t="s">
        <v>29</v>
      </c>
      <c r="U43" s="93" t="s">
        <v>1</v>
      </c>
      <c r="V43" s="93" t="s">
        <v>6</v>
      </c>
      <c r="W43" s="93" t="s">
        <v>27</v>
      </c>
      <c r="Y43"/>
    </row>
    <row r="44" spans="1:25" x14ac:dyDescent="0.2">
      <c r="A44" s="157"/>
      <c r="B44" s="157"/>
      <c r="C44" s="358" t="str">
        <f>$AA$17</f>
        <v>PGT (UG fee)</v>
      </c>
      <c r="D44" s="347" t="s">
        <v>12</v>
      </c>
      <c r="E44" s="111">
        <v>0</v>
      </c>
      <c r="F44" s="112">
        <v>0</v>
      </c>
      <c r="G44" s="115">
        <v>3.24</v>
      </c>
      <c r="H44" s="112">
        <v>0</v>
      </c>
      <c r="I44" s="115">
        <v>0</v>
      </c>
      <c r="J44" s="360">
        <v>3.24</v>
      </c>
      <c r="K44" s="378">
        <v>0</v>
      </c>
      <c r="L44" s="350">
        <v>0</v>
      </c>
      <c r="M44" s="350">
        <v>0</v>
      </c>
      <c r="N44" s="362">
        <v>0</v>
      </c>
      <c r="P44" s="112">
        <v>0</v>
      </c>
      <c r="Q44" s="115">
        <v>3.24</v>
      </c>
      <c r="R44" s="116">
        <v>0</v>
      </c>
      <c r="T44" s="93" t="s">
        <v>29</v>
      </c>
      <c r="U44" s="93" t="s">
        <v>1</v>
      </c>
      <c r="V44" s="93" t="s">
        <v>36</v>
      </c>
      <c r="W44" s="93" t="s">
        <v>26</v>
      </c>
      <c r="Y44"/>
    </row>
    <row r="45" spans="1:25" x14ac:dyDescent="0.2">
      <c r="A45" s="157"/>
      <c r="B45" s="157"/>
      <c r="C45" s="352"/>
      <c r="D45" s="353" t="s">
        <v>11</v>
      </c>
      <c r="E45" s="103">
        <v>0</v>
      </c>
      <c r="F45" s="104">
        <v>0</v>
      </c>
      <c r="G45" s="106">
        <v>0</v>
      </c>
      <c r="H45" s="104">
        <v>0</v>
      </c>
      <c r="I45" s="106">
        <v>0</v>
      </c>
      <c r="J45" s="354">
        <v>0</v>
      </c>
      <c r="K45" s="355">
        <v>0</v>
      </c>
      <c r="L45" s="357">
        <v>0</v>
      </c>
      <c r="M45" s="356">
        <v>0</v>
      </c>
      <c r="N45" s="357">
        <v>0</v>
      </c>
      <c r="P45" s="104">
        <v>0</v>
      </c>
      <c r="Q45" s="106">
        <v>0</v>
      </c>
      <c r="R45" s="107">
        <v>0</v>
      </c>
      <c r="T45" s="93" t="s">
        <v>29</v>
      </c>
      <c r="U45" s="93" t="s">
        <v>1</v>
      </c>
      <c r="V45" s="93" t="s">
        <v>36</v>
      </c>
      <c r="W45" s="93" t="s">
        <v>27</v>
      </c>
      <c r="Y45"/>
    </row>
    <row r="46" spans="1:25" x14ac:dyDescent="0.2">
      <c r="A46" s="157"/>
      <c r="B46" s="157"/>
      <c r="C46" s="358" t="str">
        <f>$AA$18</f>
        <v>PGT (Masters loan)</v>
      </c>
      <c r="D46" s="359" t="s">
        <v>12</v>
      </c>
      <c r="E46" s="111">
        <v>529.85</v>
      </c>
      <c r="F46" s="112">
        <v>0</v>
      </c>
      <c r="G46" s="112">
        <v>0</v>
      </c>
      <c r="H46" s="112">
        <v>0</v>
      </c>
      <c r="I46" s="115">
        <v>0</v>
      </c>
      <c r="J46" s="360">
        <v>529.85</v>
      </c>
      <c r="K46" s="361">
        <v>291417.5</v>
      </c>
      <c r="L46" s="349">
        <v>0</v>
      </c>
      <c r="M46" s="350">
        <v>0</v>
      </c>
      <c r="N46" s="362">
        <v>62038.222211799999</v>
      </c>
      <c r="P46" s="112">
        <v>0</v>
      </c>
      <c r="Q46" s="112">
        <v>0</v>
      </c>
      <c r="R46" s="131">
        <v>0</v>
      </c>
      <c r="T46" s="93" t="s">
        <v>29</v>
      </c>
      <c r="U46" s="93" t="s">
        <v>1</v>
      </c>
      <c r="V46" s="93" t="s">
        <v>52</v>
      </c>
      <c r="W46" s="93" t="s">
        <v>26</v>
      </c>
      <c r="Y46"/>
    </row>
    <row r="47" spans="1:25" x14ac:dyDescent="0.2">
      <c r="A47" s="157"/>
      <c r="B47" s="157"/>
      <c r="C47" s="352"/>
      <c r="D47" s="353" t="s">
        <v>11</v>
      </c>
      <c r="E47" s="103">
        <v>1933.72</v>
      </c>
      <c r="F47" s="104">
        <v>0</v>
      </c>
      <c r="G47" s="104">
        <v>0</v>
      </c>
      <c r="H47" s="104">
        <v>0</v>
      </c>
      <c r="I47" s="106">
        <v>0</v>
      </c>
      <c r="J47" s="354">
        <v>1933.72</v>
      </c>
      <c r="K47" s="357">
        <v>1063546</v>
      </c>
      <c r="L47" s="357">
        <v>1638567.1312299999</v>
      </c>
      <c r="M47" s="356">
        <v>0</v>
      </c>
      <c r="N47" s="357">
        <v>224019.32862720001</v>
      </c>
      <c r="P47" s="104">
        <v>0</v>
      </c>
      <c r="Q47" s="104">
        <v>0</v>
      </c>
      <c r="R47" s="108">
        <v>0</v>
      </c>
      <c r="T47" s="93" t="s">
        <v>29</v>
      </c>
      <c r="U47" s="93" t="s">
        <v>1</v>
      </c>
      <c r="V47" s="93" t="s">
        <v>52</v>
      </c>
      <c r="W47" s="93" t="s">
        <v>27</v>
      </c>
      <c r="Y47"/>
    </row>
    <row r="48" spans="1:25" x14ac:dyDescent="0.2">
      <c r="A48" s="157"/>
      <c r="B48" s="157"/>
      <c r="C48" s="358" t="str">
        <f>$AA$19</f>
        <v>PGT (Other)</v>
      </c>
      <c r="D48" s="359" t="s">
        <v>12</v>
      </c>
      <c r="E48" s="111">
        <v>120.48</v>
      </c>
      <c r="F48" s="112">
        <v>0</v>
      </c>
      <c r="G48" s="112">
        <v>0</v>
      </c>
      <c r="H48" s="112">
        <v>0</v>
      </c>
      <c r="I48" s="115">
        <v>0</v>
      </c>
      <c r="J48" s="360">
        <v>120.48</v>
      </c>
      <c r="K48" s="362">
        <v>132528</v>
      </c>
      <c r="L48" s="350">
        <v>0</v>
      </c>
      <c r="M48" s="350">
        <v>0</v>
      </c>
      <c r="N48" s="362">
        <v>12425.122605</v>
      </c>
      <c r="P48" s="112">
        <v>0</v>
      </c>
      <c r="Q48" s="112">
        <v>0</v>
      </c>
      <c r="R48" s="131">
        <v>0</v>
      </c>
      <c r="T48" s="93" t="s">
        <v>29</v>
      </c>
      <c r="U48" s="93" t="s">
        <v>1</v>
      </c>
      <c r="V48" s="93" t="s">
        <v>53</v>
      </c>
      <c r="W48" s="93" t="s">
        <v>26</v>
      </c>
      <c r="Y48"/>
    </row>
    <row r="49" spans="1:25" x14ac:dyDescent="0.2">
      <c r="A49" s="373"/>
      <c r="B49" s="373"/>
      <c r="C49" s="373"/>
      <c r="D49" s="233" t="s">
        <v>11</v>
      </c>
      <c r="E49" s="120">
        <v>195.36</v>
      </c>
      <c r="F49" s="121">
        <v>0</v>
      </c>
      <c r="G49" s="121">
        <v>0</v>
      </c>
      <c r="H49" s="121">
        <v>0</v>
      </c>
      <c r="I49" s="123">
        <v>0</v>
      </c>
      <c r="J49" s="374">
        <v>195.36</v>
      </c>
      <c r="K49" s="380">
        <v>214896</v>
      </c>
      <c r="L49" s="380">
        <v>165541.27523999999</v>
      </c>
      <c r="M49" s="381">
        <v>0</v>
      </c>
      <c r="N49" s="380">
        <v>14558.1912359</v>
      </c>
      <c r="P49" s="121">
        <v>0</v>
      </c>
      <c r="Q49" s="121">
        <v>0</v>
      </c>
      <c r="R49" s="125">
        <v>0</v>
      </c>
      <c r="T49" s="93" t="s">
        <v>29</v>
      </c>
      <c r="U49" s="93" t="s">
        <v>1</v>
      </c>
      <c r="V49" s="93" t="s">
        <v>53</v>
      </c>
      <c r="W49" s="93" t="s">
        <v>27</v>
      </c>
      <c r="Y49"/>
    </row>
    <row r="50" spans="1:25" x14ac:dyDescent="0.2">
      <c r="A50" s="346" t="s">
        <v>30</v>
      </c>
      <c r="B50" s="157" t="s">
        <v>269</v>
      </c>
      <c r="C50" s="157" t="s">
        <v>6</v>
      </c>
      <c r="D50" s="347" t="s">
        <v>12</v>
      </c>
      <c r="E50" s="126">
        <v>188194.9</v>
      </c>
      <c r="F50" s="128">
        <v>0</v>
      </c>
      <c r="G50" s="128">
        <v>0</v>
      </c>
      <c r="H50" s="128">
        <v>0</v>
      </c>
      <c r="I50" s="127">
        <v>20.04</v>
      </c>
      <c r="J50" s="348">
        <v>188214.94</v>
      </c>
      <c r="K50" s="376">
        <v>0</v>
      </c>
      <c r="L50" s="377">
        <v>0</v>
      </c>
      <c r="M50" s="377">
        <v>0</v>
      </c>
      <c r="N50" s="351">
        <v>7710309.0401881002</v>
      </c>
      <c r="P50" s="128">
        <v>0</v>
      </c>
      <c r="Q50" s="128">
        <v>0</v>
      </c>
      <c r="R50" s="382">
        <v>0</v>
      </c>
      <c r="T50" s="93" t="s">
        <v>30</v>
      </c>
      <c r="U50" s="93" t="s">
        <v>2</v>
      </c>
      <c r="V50" s="93" t="s">
        <v>6</v>
      </c>
      <c r="W50" s="93" t="s">
        <v>26</v>
      </c>
      <c r="Y50"/>
    </row>
    <row r="51" spans="1:25" x14ac:dyDescent="0.2">
      <c r="A51" s="157"/>
      <c r="B51" s="157"/>
      <c r="C51" s="352"/>
      <c r="D51" s="353" t="s">
        <v>11</v>
      </c>
      <c r="E51" s="103">
        <v>521.36</v>
      </c>
      <c r="F51" s="104">
        <v>0</v>
      </c>
      <c r="G51" s="104">
        <v>0</v>
      </c>
      <c r="H51" s="104">
        <v>0</v>
      </c>
      <c r="I51" s="106">
        <v>0</v>
      </c>
      <c r="J51" s="354">
        <v>521.36</v>
      </c>
      <c r="K51" s="383">
        <v>0</v>
      </c>
      <c r="L51" s="356">
        <v>0</v>
      </c>
      <c r="M51" s="357">
        <v>573539.05912240001</v>
      </c>
      <c r="N51" s="379">
        <v>8010.8724560000001</v>
      </c>
      <c r="P51" s="104">
        <v>0</v>
      </c>
      <c r="Q51" s="104">
        <v>0</v>
      </c>
      <c r="R51" s="108">
        <v>0</v>
      </c>
      <c r="T51" s="93" t="s">
        <v>30</v>
      </c>
      <c r="U51" s="93" t="s">
        <v>2</v>
      </c>
      <c r="V51" s="93" t="s">
        <v>6</v>
      </c>
      <c r="W51" s="93" t="s">
        <v>27</v>
      </c>
      <c r="Y51"/>
    </row>
    <row r="52" spans="1:25" x14ac:dyDescent="0.2">
      <c r="A52" s="157"/>
      <c r="B52" s="157"/>
      <c r="C52" s="358" t="str">
        <f>$AA$17</f>
        <v>PGT (UG fee)</v>
      </c>
      <c r="D52" s="347" t="s">
        <v>12</v>
      </c>
      <c r="E52" s="111">
        <v>3142.75</v>
      </c>
      <c r="F52" s="112">
        <v>0</v>
      </c>
      <c r="G52" s="112">
        <v>0</v>
      </c>
      <c r="H52" s="112">
        <v>0</v>
      </c>
      <c r="I52" s="115">
        <v>0</v>
      </c>
      <c r="J52" s="360">
        <v>3142.75</v>
      </c>
      <c r="K52" s="378">
        <v>0</v>
      </c>
      <c r="L52" s="350">
        <v>0</v>
      </c>
      <c r="M52" s="350">
        <v>0</v>
      </c>
      <c r="N52" s="362">
        <v>310932.81322000001</v>
      </c>
      <c r="P52" s="112">
        <v>0</v>
      </c>
      <c r="Q52" s="112">
        <v>0</v>
      </c>
      <c r="R52" s="131">
        <v>0</v>
      </c>
      <c r="T52" s="93" t="s">
        <v>30</v>
      </c>
      <c r="U52" s="93" t="s">
        <v>2</v>
      </c>
      <c r="V52" s="93" t="s">
        <v>36</v>
      </c>
      <c r="W52" s="93" t="s">
        <v>26</v>
      </c>
      <c r="Y52"/>
    </row>
    <row r="53" spans="1:25" x14ac:dyDescent="0.2">
      <c r="A53" s="157"/>
      <c r="B53" s="157"/>
      <c r="C53" s="352"/>
      <c r="D53" s="353" t="s">
        <v>11</v>
      </c>
      <c r="E53" s="103">
        <v>0</v>
      </c>
      <c r="F53" s="104">
        <v>0</v>
      </c>
      <c r="G53" s="104">
        <v>0</v>
      </c>
      <c r="H53" s="104">
        <v>0</v>
      </c>
      <c r="I53" s="106">
        <v>0</v>
      </c>
      <c r="J53" s="354">
        <v>0</v>
      </c>
      <c r="K53" s="355">
        <v>0</v>
      </c>
      <c r="L53" s="357">
        <v>0</v>
      </c>
      <c r="M53" s="356">
        <v>0</v>
      </c>
      <c r="N53" s="357">
        <v>0</v>
      </c>
      <c r="P53" s="104">
        <v>0</v>
      </c>
      <c r="Q53" s="104">
        <v>0</v>
      </c>
      <c r="R53" s="108">
        <v>0</v>
      </c>
      <c r="T53" s="93" t="s">
        <v>30</v>
      </c>
      <c r="U53" s="93" t="s">
        <v>2</v>
      </c>
      <c r="V53" s="93" t="s">
        <v>36</v>
      </c>
      <c r="W53" s="93" t="s">
        <v>27</v>
      </c>
      <c r="Y53"/>
    </row>
    <row r="54" spans="1:25" x14ac:dyDescent="0.2">
      <c r="A54" s="157"/>
      <c r="B54" s="157"/>
      <c r="C54" s="358" t="str">
        <f>$AA$18</f>
        <v>PGT (Masters loan)</v>
      </c>
      <c r="D54" s="359" t="s">
        <v>12</v>
      </c>
      <c r="E54" s="111">
        <v>2247.19</v>
      </c>
      <c r="F54" s="112">
        <v>0</v>
      </c>
      <c r="G54" s="112">
        <v>0</v>
      </c>
      <c r="H54" s="112">
        <v>0</v>
      </c>
      <c r="I54" s="115">
        <v>0</v>
      </c>
      <c r="J54" s="360">
        <v>2247.19</v>
      </c>
      <c r="K54" s="361">
        <v>1235954.5</v>
      </c>
      <c r="L54" s="349">
        <v>0</v>
      </c>
      <c r="M54" s="350">
        <v>0</v>
      </c>
      <c r="N54" s="362">
        <v>97061.048260900003</v>
      </c>
      <c r="P54" s="112">
        <v>0</v>
      </c>
      <c r="Q54" s="112">
        <v>0</v>
      </c>
      <c r="R54" s="131">
        <v>0</v>
      </c>
      <c r="T54" s="93" t="s">
        <v>30</v>
      </c>
      <c r="U54" s="93" t="s">
        <v>2</v>
      </c>
      <c r="V54" s="93" t="s">
        <v>52</v>
      </c>
      <c r="W54" s="93" t="s">
        <v>26</v>
      </c>
      <c r="Y54"/>
    </row>
    <row r="55" spans="1:25" x14ac:dyDescent="0.2">
      <c r="A55" s="157"/>
      <c r="B55" s="157"/>
      <c r="C55" s="352"/>
      <c r="D55" s="353" t="s">
        <v>11</v>
      </c>
      <c r="E55" s="103">
        <v>9958.67</v>
      </c>
      <c r="F55" s="104">
        <v>0</v>
      </c>
      <c r="G55" s="104">
        <v>0</v>
      </c>
      <c r="H55" s="104">
        <v>0</v>
      </c>
      <c r="I55" s="106">
        <v>0</v>
      </c>
      <c r="J55" s="354">
        <v>9958.67</v>
      </c>
      <c r="K55" s="357">
        <v>5477268.5</v>
      </c>
      <c r="L55" s="357">
        <v>8438630.8942175005</v>
      </c>
      <c r="M55" s="356">
        <v>0</v>
      </c>
      <c r="N55" s="357">
        <v>916588.48266189999</v>
      </c>
      <c r="P55" s="104">
        <v>0</v>
      </c>
      <c r="Q55" s="104">
        <v>0</v>
      </c>
      <c r="R55" s="108">
        <v>0</v>
      </c>
      <c r="T55" s="93" t="s">
        <v>30</v>
      </c>
      <c r="U55" s="93" t="s">
        <v>2</v>
      </c>
      <c r="V55" s="93" t="s">
        <v>52</v>
      </c>
      <c r="W55" s="93" t="s">
        <v>27</v>
      </c>
      <c r="Y55"/>
    </row>
    <row r="56" spans="1:25" x14ac:dyDescent="0.2">
      <c r="A56" s="157"/>
      <c r="B56" s="157"/>
      <c r="C56" s="358" t="str">
        <f>$AA$19</f>
        <v>PGT (Other)</v>
      </c>
      <c r="D56" s="359" t="s">
        <v>12</v>
      </c>
      <c r="E56" s="111">
        <v>518.13</v>
      </c>
      <c r="F56" s="112">
        <v>0</v>
      </c>
      <c r="G56" s="112">
        <v>0</v>
      </c>
      <c r="H56" s="112">
        <v>0</v>
      </c>
      <c r="I56" s="115">
        <v>0</v>
      </c>
      <c r="J56" s="360">
        <v>518.13</v>
      </c>
      <c r="K56" s="362">
        <v>569943</v>
      </c>
      <c r="L56" s="350">
        <v>0</v>
      </c>
      <c r="M56" s="350">
        <v>0</v>
      </c>
      <c r="N56" s="362">
        <v>14137.0329704</v>
      </c>
      <c r="P56" s="112">
        <v>0</v>
      </c>
      <c r="Q56" s="112">
        <v>0</v>
      </c>
      <c r="R56" s="131">
        <v>0</v>
      </c>
      <c r="T56" s="93" t="s">
        <v>30</v>
      </c>
      <c r="U56" s="93" t="s">
        <v>2</v>
      </c>
      <c r="V56" s="93" t="s">
        <v>53</v>
      </c>
      <c r="W56" s="93" t="s">
        <v>26</v>
      </c>
      <c r="Y56"/>
    </row>
    <row r="57" spans="1:25" x14ac:dyDescent="0.2">
      <c r="A57" s="157"/>
      <c r="B57" s="363"/>
      <c r="C57" s="363"/>
      <c r="D57" s="364" t="s">
        <v>11</v>
      </c>
      <c r="E57" s="365">
        <v>554.29</v>
      </c>
      <c r="F57" s="366">
        <v>0</v>
      </c>
      <c r="G57" s="366">
        <v>0</v>
      </c>
      <c r="H57" s="366">
        <v>0</v>
      </c>
      <c r="I57" s="367">
        <v>0</v>
      </c>
      <c r="J57" s="368">
        <v>554.29</v>
      </c>
      <c r="K57" s="369">
        <v>609719</v>
      </c>
      <c r="L57" s="369">
        <v>469686.08442249999</v>
      </c>
      <c r="M57" s="370">
        <v>0</v>
      </c>
      <c r="N57" s="369">
        <v>15235.490659999999</v>
      </c>
      <c r="P57" s="366">
        <v>0</v>
      </c>
      <c r="Q57" s="366">
        <v>0</v>
      </c>
      <c r="R57" s="371">
        <v>0</v>
      </c>
      <c r="T57" s="93" t="s">
        <v>30</v>
      </c>
      <c r="U57" s="93" t="s">
        <v>2</v>
      </c>
      <c r="V57" s="93" t="s">
        <v>53</v>
      </c>
      <c r="W57" s="93" t="s">
        <v>27</v>
      </c>
      <c r="Y57"/>
    </row>
    <row r="58" spans="1:25" x14ac:dyDescent="0.2">
      <c r="A58" s="157"/>
      <c r="B58" s="591" t="s">
        <v>128</v>
      </c>
      <c r="C58" s="352" t="s">
        <v>6</v>
      </c>
      <c r="D58" s="353" t="s">
        <v>12</v>
      </c>
      <c r="E58" s="384">
        <v>12678.5</v>
      </c>
      <c r="F58" s="385">
        <v>0</v>
      </c>
      <c r="G58" s="386">
        <v>0</v>
      </c>
      <c r="H58" s="386">
        <v>0</v>
      </c>
      <c r="I58" s="385">
        <v>0</v>
      </c>
      <c r="J58" s="387">
        <v>12678.5</v>
      </c>
      <c r="K58" s="388">
        <v>0</v>
      </c>
      <c r="L58" s="389">
        <v>0</v>
      </c>
      <c r="M58" s="389">
        <v>0</v>
      </c>
      <c r="N58" s="390">
        <v>278515.72429500002</v>
      </c>
      <c r="P58" s="386">
        <v>0</v>
      </c>
      <c r="Q58" s="385">
        <v>0</v>
      </c>
      <c r="R58" s="391">
        <v>0</v>
      </c>
      <c r="T58" s="93" t="s">
        <v>30</v>
      </c>
      <c r="U58" s="93" t="s">
        <v>14</v>
      </c>
      <c r="V58" s="93" t="s">
        <v>6</v>
      </c>
      <c r="W58" s="93" t="s">
        <v>26</v>
      </c>
      <c r="Y58"/>
    </row>
    <row r="59" spans="1:25" x14ac:dyDescent="0.2">
      <c r="A59" s="157"/>
      <c r="B59" s="591"/>
      <c r="C59" s="392" t="str">
        <f>$AA$17</f>
        <v>PGT (UG fee)</v>
      </c>
      <c r="D59" s="353" t="s">
        <v>12</v>
      </c>
      <c r="E59" s="393">
        <v>7.5</v>
      </c>
      <c r="F59" s="394">
        <v>0</v>
      </c>
      <c r="G59" s="394">
        <v>0</v>
      </c>
      <c r="H59" s="394">
        <v>0</v>
      </c>
      <c r="I59" s="395">
        <v>0</v>
      </c>
      <c r="J59" s="387">
        <v>7.5</v>
      </c>
      <c r="K59" s="388">
        <v>0</v>
      </c>
      <c r="L59" s="396">
        <v>0</v>
      </c>
      <c r="M59" s="396">
        <v>0</v>
      </c>
      <c r="N59" s="390">
        <v>0</v>
      </c>
      <c r="P59" s="394">
        <v>0</v>
      </c>
      <c r="Q59" s="394">
        <v>0</v>
      </c>
      <c r="R59" s="397">
        <v>0</v>
      </c>
      <c r="T59" s="93" t="s">
        <v>30</v>
      </c>
      <c r="U59" s="93" t="s">
        <v>14</v>
      </c>
      <c r="V59" s="93" t="s">
        <v>36</v>
      </c>
      <c r="W59" s="93" t="s">
        <v>26</v>
      </c>
      <c r="Y59"/>
    </row>
    <row r="60" spans="1:25" x14ac:dyDescent="0.2">
      <c r="A60" s="157"/>
      <c r="B60" s="157"/>
      <c r="C60" s="392" t="str">
        <f>$AA$18</f>
        <v>PGT (Masters loan)</v>
      </c>
      <c r="D60" s="353" t="s">
        <v>12</v>
      </c>
      <c r="E60" s="393">
        <v>12</v>
      </c>
      <c r="F60" s="394">
        <v>0</v>
      </c>
      <c r="G60" s="394">
        <v>0</v>
      </c>
      <c r="H60" s="394">
        <v>0</v>
      </c>
      <c r="I60" s="395">
        <v>0</v>
      </c>
      <c r="J60" s="387">
        <v>12</v>
      </c>
      <c r="K60" s="390">
        <v>6600</v>
      </c>
      <c r="L60" s="396">
        <v>0</v>
      </c>
      <c r="M60" s="396">
        <v>0</v>
      </c>
      <c r="N60" s="390">
        <v>173.49184500000001</v>
      </c>
      <c r="P60" s="394">
        <v>0</v>
      </c>
      <c r="Q60" s="394">
        <v>0</v>
      </c>
      <c r="R60" s="397">
        <v>0</v>
      </c>
      <c r="T60" s="93" t="s">
        <v>30</v>
      </c>
      <c r="U60" s="93" t="s">
        <v>14</v>
      </c>
      <c r="V60" s="93" t="s">
        <v>52</v>
      </c>
      <c r="W60" s="93" t="s">
        <v>26</v>
      </c>
      <c r="Y60"/>
    </row>
    <row r="61" spans="1:25" x14ac:dyDescent="0.2">
      <c r="A61" s="157"/>
      <c r="B61" s="363"/>
      <c r="C61" s="398" t="str">
        <f>$AA$19</f>
        <v>PGT (Other)</v>
      </c>
      <c r="D61" s="399" t="s">
        <v>12</v>
      </c>
      <c r="E61" s="400">
        <v>0</v>
      </c>
      <c r="F61" s="401">
        <v>0</v>
      </c>
      <c r="G61" s="401">
        <v>0</v>
      </c>
      <c r="H61" s="401">
        <v>0</v>
      </c>
      <c r="I61" s="402">
        <v>0</v>
      </c>
      <c r="J61" s="403">
        <v>0</v>
      </c>
      <c r="K61" s="404">
        <v>0</v>
      </c>
      <c r="L61" s="405">
        <v>0</v>
      </c>
      <c r="M61" s="405">
        <v>0</v>
      </c>
      <c r="N61" s="404">
        <v>0</v>
      </c>
      <c r="P61" s="401">
        <v>0</v>
      </c>
      <c r="Q61" s="401">
        <v>0</v>
      </c>
      <c r="R61" s="406">
        <v>0</v>
      </c>
      <c r="T61" s="93" t="s">
        <v>30</v>
      </c>
      <c r="U61" s="93" t="s">
        <v>14</v>
      </c>
      <c r="V61" s="93" t="s">
        <v>53</v>
      </c>
      <c r="W61" s="93" t="s">
        <v>26</v>
      </c>
      <c r="Y61"/>
    </row>
    <row r="62" spans="1:25" x14ac:dyDescent="0.2">
      <c r="A62" s="157"/>
      <c r="B62" s="157" t="s">
        <v>274</v>
      </c>
      <c r="C62" s="157" t="s">
        <v>6</v>
      </c>
      <c r="D62" s="347" t="s">
        <v>12</v>
      </c>
      <c r="E62" s="126">
        <v>19828.060000000001</v>
      </c>
      <c r="F62" s="128">
        <v>0</v>
      </c>
      <c r="G62" s="128">
        <v>0</v>
      </c>
      <c r="H62" s="128">
        <v>0</v>
      </c>
      <c r="I62" s="127">
        <v>33</v>
      </c>
      <c r="J62" s="348">
        <v>19861.060000000001</v>
      </c>
      <c r="K62" s="349">
        <v>0</v>
      </c>
      <c r="L62" s="372">
        <v>0</v>
      </c>
      <c r="M62" s="372">
        <v>0</v>
      </c>
      <c r="N62" s="361">
        <v>595925.62291419995</v>
      </c>
      <c r="P62" s="128">
        <v>0</v>
      </c>
      <c r="Q62" s="128">
        <v>0</v>
      </c>
      <c r="R62" s="382">
        <v>0</v>
      </c>
      <c r="T62" s="93" t="s">
        <v>30</v>
      </c>
      <c r="U62" s="93" t="s">
        <v>1</v>
      </c>
      <c r="V62" s="93" t="s">
        <v>6</v>
      </c>
      <c r="W62" s="93" t="s">
        <v>26</v>
      </c>
      <c r="Y62"/>
    </row>
    <row r="63" spans="1:25" x14ac:dyDescent="0.2">
      <c r="A63" s="157"/>
      <c r="B63" s="157"/>
      <c r="C63" s="352"/>
      <c r="D63" s="353" t="s">
        <v>11</v>
      </c>
      <c r="E63" s="103">
        <v>46.99</v>
      </c>
      <c r="F63" s="104">
        <v>0</v>
      </c>
      <c r="G63" s="104">
        <v>0</v>
      </c>
      <c r="H63" s="104">
        <v>0</v>
      </c>
      <c r="I63" s="106">
        <v>0</v>
      </c>
      <c r="J63" s="354">
        <v>46.99</v>
      </c>
      <c r="K63" s="355">
        <v>0</v>
      </c>
      <c r="L63" s="356">
        <v>0</v>
      </c>
      <c r="M63" s="356">
        <v>0</v>
      </c>
      <c r="N63" s="357">
        <v>2637.0760439999999</v>
      </c>
      <c r="P63" s="104">
        <v>0</v>
      </c>
      <c r="Q63" s="104">
        <v>0</v>
      </c>
      <c r="R63" s="108">
        <v>0</v>
      </c>
      <c r="T63" s="93" t="s">
        <v>30</v>
      </c>
      <c r="U63" s="93" t="s">
        <v>1</v>
      </c>
      <c r="V63" s="93" t="s">
        <v>6</v>
      </c>
      <c r="W63" s="93" t="s">
        <v>27</v>
      </c>
      <c r="Y63"/>
    </row>
    <row r="64" spans="1:25" x14ac:dyDescent="0.2">
      <c r="A64" s="157"/>
      <c r="B64" s="157"/>
      <c r="C64" s="358" t="str">
        <f>$AA$17</f>
        <v>PGT (UG fee)</v>
      </c>
      <c r="D64" s="347" t="s">
        <v>12</v>
      </c>
      <c r="E64" s="111">
        <v>618.38</v>
      </c>
      <c r="F64" s="112">
        <v>0</v>
      </c>
      <c r="G64" s="112">
        <v>0</v>
      </c>
      <c r="H64" s="112">
        <v>0</v>
      </c>
      <c r="I64" s="115">
        <v>0</v>
      </c>
      <c r="J64" s="360">
        <v>618.38</v>
      </c>
      <c r="K64" s="378">
        <v>0</v>
      </c>
      <c r="L64" s="350">
        <v>0</v>
      </c>
      <c r="M64" s="350">
        <v>0</v>
      </c>
      <c r="N64" s="362">
        <v>32132.070899599999</v>
      </c>
      <c r="P64" s="112">
        <v>0</v>
      </c>
      <c r="Q64" s="112">
        <v>0</v>
      </c>
      <c r="R64" s="131">
        <v>0</v>
      </c>
      <c r="T64" s="93" t="s">
        <v>30</v>
      </c>
      <c r="U64" s="93" t="s">
        <v>1</v>
      </c>
      <c r="V64" s="93" t="s">
        <v>36</v>
      </c>
      <c r="W64" s="93" t="s">
        <v>26</v>
      </c>
      <c r="Y64"/>
    </row>
    <row r="65" spans="1:25" x14ac:dyDescent="0.2">
      <c r="A65" s="157"/>
      <c r="B65" s="157"/>
      <c r="C65" s="352"/>
      <c r="D65" s="353" t="s">
        <v>11</v>
      </c>
      <c r="E65" s="103">
        <v>0</v>
      </c>
      <c r="F65" s="104">
        <v>0</v>
      </c>
      <c r="G65" s="104">
        <v>0</v>
      </c>
      <c r="H65" s="104">
        <v>0</v>
      </c>
      <c r="I65" s="106">
        <v>0</v>
      </c>
      <c r="J65" s="354">
        <v>0</v>
      </c>
      <c r="K65" s="355">
        <v>0</v>
      </c>
      <c r="L65" s="357">
        <v>0</v>
      </c>
      <c r="M65" s="356">
        <v>0</v>
      </c>
      <c r="N65" s="357">
        <v>0</v>
      </c>
      <c r="P65" s="104">
        <v>0</v>
      </c>
      <c r="Q65" s="104">
        <v>0</v>
      </c>
      <c r="R65" s="108">
        <v>0</v>
      </c>
      <c r="T65" s="93" t="s">
        <v>30</v>
      </c>
      <c r="U65" s="93" t="s">
        <v>1</v>
      </c>
      <c r="V65" s="93" t="s">
        <v>36</v>
      </c>
      <c r="W65" s="93" t="s">
        <v>27</v>
      </c>
      <c r="Y65"/>
    </row>
    <row r="66" spans="1:25" x14ac:dyDescent="0.2">
      <c r="A66" s="157"/>
      <c r="B66" s="157"/>
      <c r="C66" s="358" t="str">
        <f>$AA$18</f>
        <v>PGT (Masters loan)</v>
      </c>
      <c r="D66" s="359" t="s">
        <v>12</v>
      </c>
      <c r="E66" s="111">
        <v>1197</v>
      </c>
      <c r="F66" s="112">
        <v>0</v>
      </c>
      <c r="G66" s="112">
        <v>0</v>
      </c>
      <c r="H66" s="112">
        <v>0</v>
      </c>
      <c r="I66" s="115">
        <v>0</v>
      </c>
      <c r="J66" s="360">
        <v>1197</v>
      </c>
      <c r="K66" s="362">
        <v>658350</v>
      </c>
      <c r="L66" s="378">
        <v>0</v>
      </c>
      <c r="M66" s="350">
        <v>0</v>
      </c>
      <c r="N66" s="362">
        <v>79773.058403999996</v>
      </c>
      <c r="P66" s="112">
        <v>0</v>
      </c>
      <c r="Q66" s="112">
        <v>0</v>
      </c>
      <c r="R66" s="131">
        <v>0</v>
      </c>
      <c r="T66" s="93" t="s">
        <v>30</v>
      </c>
      <c r="U66" s="93" t="s">
        <v>1</v>
      </c>
      <c r="V66" s="93" t="s">
        <v>52</v>
      </c>
      <c r="W66" s="93" t="s">
        <v>26</v>
      </c>
      <c r="Y66"/>
    </row>
    <row r="67" spans="1:25" x14ac:dyDescent="0.2">
      <c r="A67" s="157"/>
      <c r="B67" s="157"/>
      <c r="C67" s="352"/>
      <c r="D67" s="353" t="s">
        <v>11</v>
      </c>
      <c r="E67" s="103">
        <v>3801.26</v>
      </c>
      <c r="F67" s="104">
        <v>0</v>
      </c>
      <c r="G67" s="104">
        <v>0</v>
      </c>
      <c r="H67" s="104">
        <v>0</v>
      </c>
      <c r="I67" s="106">
        <v>0</v>
      </c>
      <c r="J67" s="354">
        <v>3801.26</v>
      </c>
      <c r="K67" s="379">
        <v>2090693</v>
      </c>
      <c r="L67" s="379">
        <v>3221055.6302149999</v>
      </c>
      <c r="M67" s="375">
        <v>0</v>
      </c>
      <c r="N67" s="357">
        <v>412583.23641269997</v>
      </c>
      <c r="P67" s="104">
        <v>0</v>
      </c>
      <c r="Q67" s="104">
        <v>0</v>
      </c>
      <c r="R67" s="108">
        <v>0</v>
      </c>
      <c r="T67" s="93" t="s">
        <v>30</v>
      </c>
      <c r="U67" s="93" t="s">
        <v>1</v>
      </c>
      <c r="V67" s="93" t="s">
        <v>52</v>
      </c>
      <c r="W67" s="93" t="s">
        <v>27</v>
      </c>
      <c r="Y67"/>
    </row>
    <row r="68" spans="1:25" x14ac:dyDescent="0.2">
      <c r="A68" s="157"/>
      <c r="B68" s="157"/>
      <c r="C68" s="358" t="str">
        <f>$AA$19</f>
        <v>PGT (Other)</v>
      </c>
      <c r="D68" s="359" t="s">
        <v>12</v>
      </c>
      <c r="E68" s="111">
        <v>2448.9699999999998</v>
      </c>
      <c r="F68" s="112">
        <v>0</v>
      </c>
      <c r="G68" s="112">
        <v>0</v>
      </c>
      <c r="H68" s="112">
        <v>0</v>
      </c>
      <c r="I68" s="115">
        <v>0</v>
      </c>
      <c r="J68" s="360">
        <v>2448.9699999999998</v>
      </c>
      <c r="K68" s="362">
        <v>2693867</v>
      </c>
      <c r="L68" s="350">
        <v>0</v>
      </c>
      <c r="M68" s="350">
        <v>0</v>
      </c>
      <c r="N68" s="362">
        <v>73149.385030799996</v>
      </c>
      <c r="P68" s="112">
        <v>0</v>
      </c>
      <c r="Q68" s="112">
        <v>0</v>
      </c>
      <c r="R68" s="131">
        <v>0</v>
      </c>
      <c r="T68" s="93" t="s">
        <v>30</v>
      </c>
      <c r="U68" s="93" t="s">
        <v>1</v>
      </c>
      <c r="V68" s="93" t="s">
        <v>53</v>
      </c>
      <c r="W68" s="93" t="s">
        <v>26</v>
      </c>
      <c r="Y68"/>
    </row>
    <row r="69" spans="1:25" x14ac:dyDescent="0.2">
      <c r="A69" s="373"/>
      <c r="B69" s="373"/>
      <c r="C69" s="373"/>
      <c r="D69" s="233" t="s">
        <v>11</v>
      </c>
      <c r="E69" s="120">
        <v>739.19</v>
      </c>
      <c r="F69" s="121">
        <v>0</v>
      </c>
      <c r="G69" s="121">
        <v>0</v>
      </c>
      <c r="H69" s="121">
        <v>0</v>
      </c>
      <c r="I69" s="123">
        <v>0</v>
      </c>
      <c r="J69" s="374">
        <v>739.19</v>
      </c>
      <c r="K69" s="379">
        <v>813109</v>
      </c>
      <c r="L69" s="379">
        <v>626363.91914749995</v>
      </c>
      <c r="M69" s="356">
        <v>0</v>
      </c>
      <c r="N69" s="379">
        <v>31944.572010600001</v>
      </c>
      <c r="P69" s="121">
        <v>0</v>
      </c>
      <c r="Q69" s="121">
        <v>0</v>
      </c>
      <c r="R69" s="125">
        <v>0</v>
      </c>
      <c r="T69" s="93" t="s">
        <v>30</v>
      </c>
      <c r="U69" s="93" t="s">
        <v>1</v>
      </c>
      <c r="V69" s="93" t="s">
        <v>53</v>
      </c>
      <c r="W69" s="93" t="s">
        <v>27</v>
      </c>
      <c r="Y69"/>
    </row>
    <row r="70" spans="1:25" x14ac:dyDescent="0.2">
      <c r="A70" s="346" t="s">
        <v>9</v>
      </c>
      <c r="B70" s="157" t="s">
        <v>269</v>
      </c>
      <c r="C70" s="157" t="s">
        <v>6</v>
      </c>
      <c r="D70" s="347" t="s">
        <v>12</v>
      </c>
      <c r="E70" s="126">
        <v>335397.78000000003</v>
      </c>
      <c r="F70" s="128">
        <v>0</v>
      </c>
      <c r="G70" s="128">
        <v>0</v>
      </c>
      <c r="H70" s="128">
        <v>0</v>
      </c>
      <c r="I70" s="127">
        <v>120</v>
      </c>
      <c r="J70" s="348">
        <v>335517.78000000003</v>
      </c>
      <c r="K70" s="376">
        <v>0</v>
      </c>
      <c r="L70" s="377">
        <v>0</v>
      </c>
      <c r="M70" s="377">
        <v>0</v>
      </c>
      <c r="N70" s="351">
        <v>13431706.26691</v>
      </c>
      <c r="P70" s="128">
        <v>0</v>
      </c>
      <c r="Q70" s="128">
        <v>0</v>
      </c>
      <c r="R70" s="382">
        <v>0</v>
      </c>
      <c r="T70" s="93" t="s">
        <v>9</v>
      </c>
      <c r="U70" s="93" t="s">
        <v>2</v>
      </c>
      <c r="V70" s="93" t="s">
        <v>6</v>
      </c>
      <c r="W70" s="93" t="s">
        <v>26</v>
      </c>
      <c r="Y70"/>
    </row>
    <row r="71" spans="1:25" x14ac:dyDescent="0.2">
      <c r="A71" s="157"/>
      <c r="B71" s="157"/>
      <c r="C71" s="352"/>
      <c r="D71" s="353" t="s">
        <v>11</v>
      </c>
      <c r="E71" s="103">
        <v>754.49</v>
      </c>
      <c r="F71" s="104">
        <v>0</v>
      </c>
      <c r="G71" s="104">
        <v>0</v>
      </c>
      <c r="H71" s="104">
        <v>0</v>
      </c>
      <c r="I71" s="106">
        <v>0</v>
      </c>
      <c r="J71" s="354">
        <v>754.49</v>
      </c>
      <c r="K71" s="383">
        <v>0</v>
      </c>
      <c r="L71" s="356">
        <v>0</v>
      </c>
      <c r="M71" s="357">
        <v>638462.55103620002</v>
      </c>
      <c r="N71" s="379">
        <v>25067.528565000001</v>
      </c>
      <c r="P71" s="104">
        <v>0</v>
      </c>
      <c r="Q71" s="104">
        <v>0</v>
      </c>
      <c r="R71" s="108">
        <v>0</v>
      </c>
      <c r="T71" s="93" t="s">
        <v>9</v>
      </c>
      <c r="U71" s="93" t="s">
        <v>2</v>
      </c>
      <c r="V71" s="93" t="s">
        <v>6</v>
      </c>
      <c r="W71" s="93" t="s">
        <v>27</v>
      </c>
      <c r="Y71"/>
    </row>
    <row r="72" spans="1:25" x14ac:dyDescent="0.2">
      <c r="A72" s="157"/>
      <c r="B72" s="157"/>
      <c r="C72" s="358" t="str">
        <f>$AA$17</f>
        <v>PGT (UG fee)</v>
      </c>
      <c r="D72" s="347" t="s">
        <v>12</v>
      </c>
      <c r="E72" s="111">
        <v>67.900000000000006</v>
      </c>
      <c r="F72" s="112">
        <v>0</v>
      </c>
      <c r="G72" s="112">
        <v>0</v>
      </c>
      <c r="H72" s="112">
        <v>0</v>
      </c>
      <c r="I72" s="115">
        <v>0</v>
      </c>
      <c r="J72" s="360">
        <v>67.900000000000006</v>
      </c>
      <c r="K72" s="378">
        <v>0</v>
      </c>
      <c r="L72" s="350">
        <v>0</v>
      </c>
      <c r="M72" s="350">
        <v>0</v>
      </c>
      <c r="N72" s="362">
        <v>0</v>
      </c>
      <c r="P72" s="112">
        <v>0</v>
      </c>
      <c r="Q72" s="112">
        <v>0</v>
      </c>
      <c r="R72" s="131">
        <v>0</v>
      </c>
      <c r="T72" s="93" t="s">
        <v>9</v>
      </c>
      <c r="U72" s="93" t="s">
        <v>2</v>
      </c>
      <c r="V72" s="93" t="s">
        <v>36</v>
      </c>
      <c r="W72" s="93" t="s">
        <v>26</v>
      </c>
      <c r="Y72"/>
    </row>
    <row r="73" spans="1:25" x14ac:dyDescent="0.2">
      <c r="A73" s="157"/>
      <c r="B73" s="157"/>
      <c r="C73" s="352"/>
      <c r="D73" s="353" t="s">
        <v>11</v>
      </c>
      <c r="E73" s="103">
        <v>0</v>
      </c>
      <c r="F73" s="104">
        <v>0</v>
      </c>
      <c r="G73" s="104">
        <v>0</v>
      </c>
      <c r="H73" s="104">
        <v>0</v>
      </c>
      <c r="I73" s="106">
        <v>0</v>
      </c>
      <c r="J73" s="354">
        <v>0</v>
      </c>
      <c r="K73" s="355">
        <v>0</v>
      </c>
      <c r="L73" s="356">
        <v>0</v>
      </c>
      <c r="M73" s="356">
        <v>0</v>
      </c>
      <c r="N73" s="357">
        <v>0</v>
      </c>
      <c r="P73" s="104">
        <v>0</v>
      </c>
      <c r="Q73" s="104">
        <v>0</v>
      </c>
      <c r="R73" s="108">
        <v>0</v>
      </c>
      <c r="T73" s="93" t="s">
        <v>9</v>
      </c>
      <c r="U73" s="93" t="s">
        <v>2</v>
      </c>
      <c r="V73" s="93" t="s">
        <v>36</v>
      </c>
      <c r="W73" s="93" t="s">
        <v>27</v>
      </c>
      <c r="Y73"/>
    </row>
    <row r="74" spans="1:25" x14ac:dyDescent="0.2">
      <c r="A74" s="157"/>
      <c r="B74" s="157"/>
      <c r="C74" s="358" t="str">
        <f>$AA$18</f>
        <v>PGT (Masters loan)</v>
      </c>
      <c r="D74" s="359" t="s">
        <v>12</v>
      </c>
      <c r="E74" s="111">
        <v>3417.42</v>
      </c>
      <c r="F74" s="112">
        <v>0</v>
      </c>
      <c r="G74" s="112">
        <v>0</v>
      </c>
      <c r="H74" s="112">
        <v>0</v>
      </c>
      <c r="I74" s="115">
        <v>0</v>
      </c>
      <c r="J74" s="360">
        <v>3417.42</v>
      </c>
      <c r="K74" s="378">
        <v>0</v>
      </c>
      <c r="L74" s="350">
        <v>0</v>
      </c>
      <c r="M74" s="350">
        <v>0</v>
      </c>
      <c r="N74" s="362">
        <v>248045.18375719999</v>
      </c>
      <c r="P74" s="112">
        <v>0</v>
      </c>
      <c r="Q74" s="112">
        <v>0</v>
      </c>
      <c r="R74" s="131">
        <v>0</v>
      </c>
      <c r="T74" s="93" t="s">
        <v>9</v>
      </c>
      <c r="U74" s="93" t="s">
        <v>2</v>
      </c>
      <c r="V74" s="93" t="s">
        <v>52</v>
      </c>
      <c r="W74" s="93" t="s">
        <v>26</v>
      </c>
      <c r="Y74"/>
    </row>
    <row r="75" spans="1:25" x14ac:dyDescent="0.2">
      <c r="A75" s="157"/>
      <c r="B75" s="157"/>
      <c r="C75" s="352"/>
      <c r="D75" s="353" t="s">
        <v>11</v>
      </c>
      <c r="E75" s="103">
        <v>21074.959999999999</v>
      </c>
      <c r="F75" s="104">
        <v>0</v>
      </c>
      <c r="G75" s="104">
        <v>0</v>
      </c>
      <c r="H75" s="104">
        <v>0</v>
      </c>
      <c r="I75" s="106">
        <v>0</v>
      </c>
      <c r="J75" s="354">
        <v>21074.959999999999</v>
      </c>
      <c r="K75" s="355">
        <v>0</v>
      </c>
      <c r="L75" s="356">
        <v>0</v>
      </c>
      <c r="M75" s="356">
        <v>0</v>
      </c>
      <c r="N75" s="357">
        <v>1963354.4589507999</v>
      </c>
      <c r="P75" s="104">
        <v>0</v>
      </c>
      <c r="Q75" s="104">
        <v>0</v>
      </c>
      <c r="R75" s="108">
        <v>0</v>
      </c>
      <c r="T75" s="93" t="s">
        <v>9</v>
      </c>
      <c r="U75" s="93" t="s">
        <v>2</v>
      </c>
      <c r="V75" s="93" t="s">
        <v>52</v>
      </c>
      <c r="W75" s="93" t="s">
        <v>27</v>
      </c>
      <c r="Y75"/>
    </row>
    <row r="76" spans="1:25" x14ac:dyDescent="0.2">
      <c r="A76" s="157"/>
      <c r="B76" s="157"/>
      <c r="C76" s="358" t="str">
        <f>$AA$19</f>
        <v>PGT (Other)</v>
      </c>
      <c r="D76" s="359" t="s">
        <v>12</v>
      </c>
      <c r="E76" s="111">
        <v>709.06</v>
      </c>
      <c r="F76" s="112">
        <v>0</v>
      </c>
      <c r="G76" s="112">
        <v>0</v>
      </c>
      <c r="H76" s="112">
        <v>0</v>
      </c>
      <c r="I76" s="115">
        <v>0</v>
      </c>
      <c r="J76" s="360">
        <v>709.06</v>
      </c>
      <c r="K76" s="378">
        <v>0</v>
      </c>
      <c r="L76" s="350">
        <v>0</v>
      </c>
      <c r="M76" s="350">
        <v>0</v>
      </c>
      <c r="N76" s="362">
        <v>39996.193261400003</v>
      </c>
      <c r="P76" s="112">
        <v>0</v>
      </c>
      <c r="Q76" s="112">
        <v>0</v>
      </c>
      <c r="R76" s="131">
        <v>0</v>
      </c>
      <c r="T76" s="93" t="s">
        <v>9</v>
      </c>
      <c r="U76" s="93" t="s">
        <v>2</v>
      </c>
      <c r="V76" s="93" t="s">
        <v>53</v>
      </c>
      <c r="W76" s="93" t="s">
        <v>26</v>
      </c>
      <c r="Y76"/>
    </row>
    <row r="77" spans="1:25" x14ac:dyDescent="0.2">
      <c r="A77" s="157"/>
      <c r="B77" s="363"/>
      <c r="C77" s="363"/>
      <c r="D77" s="364" t="s">
        <v>11</v>
      </c>
      <c r="E77" s="365">
        <v>526.57000000000005</v>
      </c>
      <c r="F77" s="366">
        <v>0</v>
      </c>
      <c r="G77" s="366">
        <v>0</v>
      </c>
      <c r="H77" s="366">
        <v>0</v>
      </c>
      <c r="I77" s="367">
        <v>0</v>
      </c>
      <c r="J77" s="368">
        <v>526.57000000000005</v>
      </c>
      <c r="K77" s="407">
        <v>0</v>
      </c>
      <c r="L77" s="370">
        <v>0</v>
      </c>
      <c r="M77" s="370">
        <v>0</v>
      </c>
      <c r="N77" s="369">
        <v>9438.5015999999996</v>
      </c>
      <c r="P77" s="366">
        <v>0</v>
      </c>
      <c r="Q77" s="366">
        <v>0</v>
      </c>
      <c r="R77" s="371">
        <v>0</v>
      </c>
      <c r="T77" s="93" t="s">
        <v>9</v>
      </c>
      <c r="U77" s="93" t="s">
        <v>2</v>
      </c>
      <c r="V77" s="93" t="s">
        <v>53</v>
      </c>
      <c r="W77" s="93" t="s">
        <v>27</v>
      </c>
      <c r="Y77"/>
    </row>
    <row r="78" spans="1:25" x14ac:dyDescent="0.2">
      <c r="A78" s="157"/>
      <c r="B78" s="157" t="s">
        <v>274</v>
      </c>
      <c r="C78" s="157" t="s">
        <v>6</v>
      </c>
      <c r="D78" s="347" t="s">
        <v>12</v>
      </c>
      <c r="E78" s="126">
        <v>24729.73</v>
      </c>
      <c r="F78" s="128">
        <v>0</v>
      </c>
      <c r="G78" s="128">
        <v>0</v>
      </c>
      <c r="H78" s="128">
        <v>0</v>
      </c>
      <c r="I78" s="127">
        <v>60.5</v>
      </c>
      <c r="J78" s="348">
        <v>24790.23</v>
      </c>
      <c r="K78" s="349">
        <v>0</v>
      </c>
      <c r="L78" s="372">
        <v>0</v>
      </c>
      <c r="M78" s="372">
        <v>0</v>
      </c>
      <c r="N78" s="361">
        <v>465166.89119559998</v>
      </c>
      <c r="P78" s="128">
        <v>0</v>
      </c>
      <c r="Q78" s="128">
        <v>0</v>
      </c>
      <c r="R78" s="382">
        <v>0</v>
      </c>
      <c r="T78" s="93" t="s">
        <v>9</v>
      </c>
      <c r="U78" s="93" t="s">
        <v>1</v>
      </c>
      <c r="V78" s="93" t="s">
        <v>6</v>
      </c>
      <c r="W78" s="93" t="s">
        <v>26</v>
      </c>
      <c r="Y78"/>
    </row>
    <row r="79" spans="1:25" x14ac:dyDescent="0.2">
      <c r="A79" s="157"/>
      <c r="B79" s="157"/>
      <c r="C79" s="352"/>
      <c r="D79" s="353" t="s">
        <v>11</v>
      </c>
      <c r="E79" s="103">
        <v>160.72999999999999</v>
      </c>
      <c r="F79" s="104">
        <v>0</v>
      </c>
      <c r="G79" s="104">
        <v>0</v>
      </c>
      <c r="H79" s="104">
        <v>0</v>
      </c>
      <c r="I79" s="106">
        <v>0</v>
      </c>
      <c r="J79" s="354">
        <v>160.72999999999999</v>
      </c>
      <c r="K79" s="355">
        <v>0</v>
      </c>
      <c r="L79" s="356">
        <v>0</v>
      </c>
      <c r="M79" s="356">
        <v>0</v>
      </c>
      <c r="N79" s="357">
        <v>3369.0482296999999</v>
      </c>
      <c r="P79" s="104">
        <v>0</v>
      </c>
      <c r="Q79" s="104">
        <v>0</v>
      </c>
      <c r="R79" s="108">
        <v>0</v>
      </c>
      <c r="T79" s="93" t="s">
        <v>9</v>
      </c>
      <c r="U79" s="93" t="s">
        <v>1</v>
      </c>
      <c r="V79" s="93" t="s">
        <v>6</v>
      </c>
      <c r="W79" s="93" t="s">
        <v>27</v>
      </c>
      <c r="Y79"/>
    </row>
    <row r="80" spans="1:25" x14ac:dyDescent="0.2">
      <c r="A80" s="157"/>
      <c r="B80" s="157"/>
      <c r="C80" s="358" t="str">
        <f>$AA$17</f>
        <v>PGT (UG fee)</v>
      </c>
      <c r="D80" s="347" t="s">
        <v>12</v>
      </c>
      <c r="E80" s="111">
        <v>71.98</v>
      </c>
      <c r="F80" s="112">
        <v>0</v>
      </c>
      <c r="G80" s="112">
        <v>0</v>
      </c>
      <c r="H80" s="112">
        <v>0</v>
      </c>
      <c r="I80" s="115">
        <v>0</v>
      </c>
      <c r="J80" s="360">
        <v>71.98</v>
      </c>
      <c r="K80" s="349">
        <v>0</v>
      </c>
      <c r="L80" s="350">
        <v>0</v>
      </c>
      <c r="M80" s="350">
        <v>0</v>
      </c>
      <c r="N80" s="361">
        <v>273.953622</v>
      </c>
      <c r="P80" s="112">
        <v>0</v>
      </c>
      <c r="Q80" s="112">
        <v>0</v>
      </c>
      <c r="R80" s="131">
        <v>0</v>
      </c>
      <c r="T80" s="93" t="s">
        <v>9</v>
      </c>
      <c r="U80" s="93" t="s">
        <v>1</v>
      </c>
      <c r="V80" s="93" t="s">
        <v>36</v>
      </c>
      <c r="W80" s="93" t="s">
        <v>26</v>
      </c>
      <c r="Y80"/>
    </row>
    <row r="81" spans="1:25" x14ac:dyDescent="0.2">
      <c r="A81" s="157"/>
      <c r="B81" s="157"/>
      <c r="C81" s="352"/>
      <c r="D81" s="353" t="s">
        <v>11</v>
      </c>
      <c r="E81" s="103">
        <v>0</v>
      </c>
      <c r="F81" s="104">
        <v>0</v>
      </c>
      <c r="G81" s="104">
        <v>0</v>
      </c>
      <c r="H81" s="104">
        <v>0</v>
      </c>
      <c r="I81" s="106">
        <v>0</v>
      </c>
      <c r="J81" s="354">
        <v>0</v>
      </c>
      <c r="K81" s="355">
        <v>0</v>
      </c>
      <c r="L81" s="356">
        <v>0</v>
      </c>
      <c r="M81" s="356">
        <v>0</v>
      </c>
      <c r="N81" s="357">
        <v>0</v>
      </c>
      <c r="P81" s="104">
        <v>0</v>
      </c>
      <c r="Q81" s="104">
        <v>0</v>
      </c>
      <c r="R81" s="108">
        <v>0</v>
      </c>
      <c r="T81" s="93" t="s">
        <v>9</v>
      </c>
      <c r="U81" s="93" t="s">
        <v>1</v>
      </c>
      <c r="V81" s="93" t="s">
        <v>36</v>
      </c>
      <c r="W81" s="93" t="s">
        <v>27</v>
      </c>
      <c r="Y81"/>
    </row>
    <row r="82" spans="1:25" x14ac:dyDescent="0.2">
      <c r="A82" s="157"/>
      <c r="B82" s="157"/>
      <c r="C82" s="358" t="str">
        <f>$AA$18</f>
        <v>PGT (Masters loan)</v>
      </c>
      <c r="D82" s="359" t="s">
        <v>12</v>
      </c>
      <c r="E82" s="111">
        <v>1331.29</v>
      </c>
      <c r="F82" s="112">
        <v>0</v>
      </c>
      <c r="G82" s="112">
        <v>0</v>
      </c>
      <c r="H82" s="112">
        <v>0</v>
      </c>
      <c r="I82" s="115">
        <v>0</v>
      </c>
      <c r="J82" s="360">
        <v>1331.29</v>
      </c>
      <c r="K82" s="349">
        <v>0</v>
      </c>
      <c r="L82" s="350">
        <v>0</v>
      </c>
      <c r="M82" s="350">
        <v>0</v>
      </c>
      <c r="N82" s="361">
        <v>85815.517712100002</v>
      </c>
      <c r="P82" s="112">
        <v>0</v>
      </c>
      <c r="Q82" s="112">
        <v>0</v>
      </c>
      <c r="R82" s="131">
        <v>0</v>
      </c>
      <c r="T82" s="93" t="s">
        <v>9</v>
      </c>
      <c r="U82" s="93" t="s">
        <v>1</v>
      </c>
      <c r="V82" s="93" t="s">
        <v>52</v>
      </c>
      <c r="W82" s="93" t="s">
        <v>26</v>
      </c>
      <c r="Y82"/>
    </row>
    <row r="83" spans="1:25" x14ac:dyDescent="0.2">
      <c r="A83" s="157"/>
      <c r="B83" s="157"/>
      <c r="C83" s="352"/>
      <c r="D83" s="353" t="s">
        <v>11</v>
      </c>
      <c r="E83" s="103">
        <v>6999.92</v>
      </c>
      <c r="F83" s="104">
        <v>0</v>
      </c>
      <c r="G83" s="104">
        <v>0</v>
      </c>
      <c r="H83" s="104">
        <v>0</v>
      </c>
      <c r="I83" s="106">
        <v>0</v>
      </c>
      <c r="J83" s="354">
        <v>6999.92</v>
      </c>
      <c r="K83" s="355">
        <v>0</v>
      </c>
      <c r="L83" s="356">
        <v>0</v>
      </c>
      <c r="M83" s="356">
        <v>0</v>
      </c>
      <c r="N83" s="357">
        <v>602096.65718950005</v>
      </c>
      <c r="P83" s="104">
        <v>0</v>
      </c>
      <c r="Q83" s="104">
        <v>0</v>
      </c>
      <c r="R83" s="108">
        <v>0</v>
      </c>
      <c r="T83" s="93" t="s">
        <v>9</v>
      </c>
      <c r="U83" s="93" t="s">
        <v>1</v>
      </c>
      <c r="V83" s="93" t="s">
        <v>52</v>
      </c>
      <c r="W83" s="93" t="s">
        <v>27</v>
      </c>
      <c r="Y83"/>
    </row>
    <row r="84" spans="1:25" x14ac:dyDescent="0.2">
      <c r="A84" s="157"/>
      <c r="B84" s="157"/>
      <c r="C84" s="358" t="str">
        <f>$AA$19</f>
        <v>PGT (Other)</v>
      </c>
      <c r="D84" s="359" t="s">
        <v>12</v>
      </c>
      <c r="E84" s="111">
        <v>1974.61</v>
      </c>
      <c r="F84" s="112">
        <v>0</v>
      </c>
      <c r="G84" s="112">
        <v>0</v>
      </c>
      <c r="H84" s="112">
        <v>0</v>
      </c>
      <c r="I84" s="115">
        <v>0</v>
      </c>
      <c r="J84" s="360">
        <v>1974.61</v>
      </c>
      <c r="K84" s="378">
        <v>0</v>
      </c>
      <c r="L84" s="350">
        <v>0</v>
      </c>
      <c r="M84" s="350">
        <v>0</v>
      </c>
      <c r="N84" s="362">
        <v>81859.567410999996</v>
      </c>
      <c r="P84" s="112">
        <v>0</v>
      </c>
      <c r="Q84" s="112">
        <v>0</v>
      </c>
      <c r="R84" s="131">
        <v>0</v>
      </c>
      <c r="T84" s="93" t="s">
        <v>9</v>
      </c>
      <c r="U84" s="93" t="s">
        <v>1</v>
      </c>
      <c r="V84" s="93" t="s">
        <v>53</v>
      </c>
      <c r="W84" s="93" t="s">
        <v>26</v>
      </c>
      <c r="Y84"/>
    </row>
    <row r="85" spans="1:25" ht="14.25" thickBot="1" x14ac:dyDescent="0.25">
      <c r="A85" s="157"/>
      <c r="B85" s="157"/>
      <c r="C85" s="157"/>
      <c r="D85" s="347" t="s">
        <v>11</v>
      </c>
      <c r="E85" s="133">
        <v>1035.07</v>
      </c>
      <c r="F85" s="134">
        <v>0</v>
      </c>
      <c r="G85" s="134">
        <v>0</v>
      </c>
      <c r="H85" s="134">
        <v>0</v>
      </c>
      <c r="I85" s="144">
        <v>0</v>
      </c>
      <c r="J85" s="408">
        <v>1035.07</v>
      </c>
      <c r="K85" s="383">
        <v>0</v>
      </c>
      <c r="L85" s="375">
        <v>0</v>
      </c>
      <c r="M85" s="375">
        <v>0</v>
      </c>
      <c r="N85" s="379">
        <v>23968.489353100002</v>
      </c>
      <c r="P85" s="134">
        <v>0</v>
      </c>
      <c r="Q85" s="134">
        <v>0</v>
      </c>
      <c r="R85" s="146">
        <v>0</v>
      </c>
      <c r="T85" s="93" t="s">
        <v>9</v>
      </c>
      <c r="U85" s="93" t="s">
        <v>1</v>
      </c>
      <c r="V85" s="93" t="s">
        <v>53</v>
      </c>
      <c r="W85" s="93" t="s">
        <v>27</v>
      </c>
      <c r="Y85"/>
    </row>
    <row r="86" spans="1:25" ht="14.25" customHeight="1" thickTop="1" x14ac:dyDescent="0.2">
      <c r="A86" s="136" t="s">
        <v>3</v>
      </c>
      <c r="B86" s="588" t="s">
        <v>273</v>
      </c>
      <c r="C86" s="409" t="s">
        <v>6</v>
      </c>
      <c r="D86" s="410"/>
      <c r="E86" s="411">
        <f>SUM(E6:E7,E18:E19,E34:E35,E50:E51,E58,E70:E71)</f>
        <v>962017.5</v>
      </c>
      <c r="F86" s="412">
        <f>SUM(F18:F19,F34:F35,F58)</f>
        <v>22532</v>
      </c>
      <c r="G86" s="413"/>
      <c r="H86" s="412">
        <f>SUM(H6:H7)</f>
        <v>116</v>
      </c>
      <c r="I86" s="412">
        <f>SUM(I6:I7,I18:I19,I34:I35,I50:I51,I58,I70:I71)</f>
        <v>1181</v>
      </c>
      <c r="J86" s="414">
        <f t="shared" ref="J86" si="0">SUM(J6:J7,J18:J19,J34:J35,J50:J51,J58,J70:J71)</f>
        <v>985846.5</v>
      </c>
      <c r="K86" s="415"/>
      <c r="L86" s="415"/>
      <c r="M86" s="416">
        <f>SUM(M19,M35,M51,M71)</f>
        <v>1524285.4397996</v>
      </c>
      <c r="N86" s="416">
        <f>SUM(N6:N7,N18:N19,N34:N35,N50:N51,N58,N70:N71)</f>
        <v>54344891.843584895</v>
      </c>
      <c r="P86" s="412">
        <f>SUM(P18:P19,P34:P35)</f>
        <v>24464</v>
      </c>
      <c r="Q86" s="412">
        <f>SUM(Q6:Q7,Q18:Q19,Q34:Q35,Q58)</f>
        <v>47112</v>
      </c>
      <c r="R86" s="417">
        <f>SUM(R6:R7,R18:R19,R34:R35,R58)</f>
        <v>2147399.4106000001</v>
      </c>
      <c r="Y86"/>
    </row>
    <row r="87" spans="1:25" x14ac:dyDescent="0.2">
      <c r="A87" s="142"/>
      <c r="B87" s="589"/>
      <c r="C87" s="418" t="str">
        <f>$AA$17</f>
        <v>PGT (UG fee)</v>
      </c>
      <c r="D87" s="419"/>
      <c r="E87" s="393">
        <f>SUM(E20:E21,E36:E37,E52:E53,E59,E72:E73)</f>
        <v>3219.5</v>
      </c>
      <c r="F87" s="394"/>
      <c r="G87" s="395">
        <f>SUM(G20:G21,G36:G37)</f>
        <v>2529</v>
      </c>
      <c r="H87" s="394"/>
      <c r="I87" s="395">
        <f t="shared" ref="I87:J87" si="1">SUM(I20:I21,I36:I37,I52:I53,I59,I72:I73)</f>
        <v>57</v>
      </c>
      <c r="J87" s="420">
        <f t="shared" si="1"/>
        <v>5805.5</v>
      </c>
      <c r="K87" s="421"/>
      <c r="L87" s="422">
        <f>SUM(L21,L37,L53)</f>
        <v>0</v>
      </c>
      <c r="M87" s="421"/>
      <c r="N87" s="422">
        <f>SUM(N20:N21,N36:N37,N52:N53,N59,N72:N73)</f>
        <v>657872.90471999999</v>
      </c>
      <c r="P87" s="394"/>
      <c r="Q87" s="395">
        <f>SUM(Q20:Q21,Q36:Q37)</f>
        <v>2529</v>
      </c>
      <c r="R87" s="423">
        <f>SUM(R20:R21,R36:R37)</f>
        <v>346940.09149999998</v>
      </c>
      <c r="Y87"/>
    </row>
    <row r="88" spans="1:25" x14ac:dyDescent="0.2">
      <c r="A88" s="142"/>
      <c r="B88" s="589"/>
      <c r="C88" s="418" t="str">
        <f>$AA$18</f>
        <v>PGT (Masters loan)</v>
      </c>
      <c r="D88" s="419"/>
      <c r="E88" s="393">
        <f>SUM(E8:E9,E22:E23,E38:E39,E54:E55,E60,E74:E75)</f>
        <v>58744</v>
      </c>
      <c r="F88" s="394"/>
      <c r="G88" s="394"/>
      <c r="H88" s="394"/>
      <c r="I88" s="395">
        <f t="shared" ref="I88:N88" si="2">SUM(I8:I9,I22:I23,I38:I39,I54:I55,I60,I74:I75)</f>
        <v>-57</v>
      </c>
      <c r="J88" s="420">
        <f t="shared" si="2"/>
        <v>58687</v>
      </c>
      <c r="K88" s="422">
        <f>SUM(K8:K9,K22:K23,K38:K39,K54:K55,K60)</f>
        <v>18807041</v>
      </c>
      <c r="L88" s="422">
        <f>SUM(L23,L39,L55)</f>
        <v>25593806.3298878</v>
      </c>
      <c r="M88" s="421"/>
      <c r="N88" s="422">
        <f t="shared" si="2"/>
        <v>7113167.6433624001</v>
      </c>
      <c r="P88" s="394"/>
      <c r="Q88" s="394"/>
      <c r="R88" s="397"/>
      <c r="Y88"/>
    </row>
    <row r="89" spans="1:25" x14ac:dyDescent="0.2">
      <c r="A89" s="142"/>
      <c r="B89" s="590"/>
      <c r="C89" s="424" t="str">
        <f>$AA$19</f>
        <v>PGT (Other)</v>
      </c>
      <c r="D89" s="425"/>
      <c r="E89" s="400">
        <f>SUM(E10:E11,E24:E25,E40:E41,E56:E57,E61,E76:E77)</f>
        <v>3545</v>
      </c>
      <c r="F89" s="401"/>
      <c r="G89" s="401"/>
      <c r="H89" s="401"/>
      <c r="I89" s="402">
        <f t="shared" ref="I89:N89" si="3">SUM(I10:I11,I24:I25,I40:I41,I56:I57,I61,I76:I77)</f>
        <v>2</v>
      </c>
      <c r="J89" s="403">
        <f t="shared" si="3"/>
        <v>3547</v>
      </c>
      <c r="K89" s="404">
        <f>SUM(K10:K11,K24:K25,K40:K41,K56:K57,K61)</f>
        <v>2542507</v>
      </c>
      <c r="L89" s="404">
        <f>SUM(L25,L41,L57)</f>
        <v>853230.32133069995</v>
      </c>
      <c r="M89" s="426"/>
      <c r="N89" s="404">
        <f t="shared" si="3"/>
        <v>290463.7907823</v>
      </c>
      <c r="P89" s="401"/>
      <c r="Q89" s="401"/>
      <c r="R89" s="406"/>
      <c r="Y89"/>
    </row>
    <row r="90" spans="1:25" x14ac:dyDescent="0.2">
      <c r="A90" s="142"/>
      <c r="B90" s="142" t="s">
        <v>274</v>
      </c>
      <c r="C90" s="427" t="s">
        <v>6</v>
      </c>
      <c r="D90" s="428"/>
      <c r="E90" s="384">
        <f>SUM(E12:E13,E26:E27,E42:E43,E62:E63,E78:E79)</f>
        <v>65739.63</v>
      </c>
      <c r="F90" s="385">
        <f>SUM(F26:F27,F42:F43)</f>
        <v>294.60000000000002</v>
      </c>
      <c r="G90" s="386"/>
      <c r="H90" s="385">
        <f>SUM(H12:H13)</f>
        <v>2.3199999999999998</v>
      </c>
      <c r="I90" s="385">
        <f t="shared" ref="I90:N90" si="4">SUM(I12:I13,I26:I27,I42:I43,I62:I63,I78:I79)</f>
        <v>128.44999999999999</v>
      </c>
      <c r="J90" s="387">
        <f t="shared" si="4"/>
        <v>66165</v>
      </c>
      <c r="K90" s="388"/>
      <c r="L90" s="388"/>
      <c r="M90" s="388"/>
      <c r="N90" s="390">
        <f t="shared" si="4"/>
        <v>1910344.7632415998</v>
      </c>
      <c r="P90" s="385">
        <f>SUM(P26:P27,P42:P43)</f>
        <v>112.19</v>
      </c>
      <c r="Q90" s="385">
        <f>SUM(Q12:Q13,Q26:Q27,Q42:Q43)</f>
        <v>409.11</v>
      </c>
      <c r="R90" s="390">
        <f>SUM(R12:R13,R26:R27,R42:R43)</f>
        <v>18260.625356799999</v>
      </c>
      <c r="Y90"/>
    </row>
    <row r="91" spans="1:25" x14ac:dyDescent="0.2">
      <c r="A91" s="142"/>
      <c r="B91" s="142"/>
      <c r="C91" s="418" t="str">
        <f>$AA$17</f>
        <v>PGT (UG fee)</v>
      </c>
      <c r="D91" s="419"/>
      <c r="E91" s="393">
        <f>SUM(E28:E29,E44:E45,E64:E65,E80:E81)</f>
        <v>690.36</v>
      </c>
      <c r="F91" s="394"/>
      <c r="G91" s="395">
        <f>SUM(G28:G29,G44:G45)</f>
        <v>4.67</v>
      </c>
      <c r="H91" s="394"/>
      <c r="I91" s="395">
        <f t="shared" ref="I91:N91" si="5">SUM(I28:I29,I44:I45,I64:I65,I80:I81)</f>
        <v>0</v>
      </c>
      <c r="J91" s="420">
        <f t="shared" si="5"/>
        <v>695.03</v>
      </c>
      <c r="K91" s="421"/>
      <c r="L91" s="422">
        <f>SUM(L29,L45,L65)</f>
        <v>0</v>
      </c>
      <c r="M91" s="421"/>
      <c r="N91" s="422">
        <f t="shared" si="5"/>
        <v>32406.0245216</v>
      </c>
      <c r="P91" s="394"/>
      <c r="Q91" s="395">
        <f>SUM(Q28:Q29,Q44:Q45)</f>
        <v>4.67</v>
      </c>
      <c r="R91" s="423">
        <f>SUM(R28:R29,R44:R45)</f>
        <v>0</v>
      </c>
      <c r="Y91"/>
    </row>
    <row r="92" spans="1:25" x14ac:dyDescent="0.2">
      <c r="A92" s="142"/>
      <c r="B92" s="142"/>
      <c r="C92" s="418" t="str">
        <f>$AA$18</f>
        <v>PGT (Masters loan)</v>
      </c>
      <c r="D92" s="419"/>
      <c r="E92" s="393">
        <f>SUM(E14:E15,E30:E31,E46:E47,E66:E67,E82:E83)</f>
        <v>18583.520000000004</v>
      </c>
      <c r="F92" s="394"/>
      <c r="G92" s="394"/>
      <c r="H92" s="394"/>
      <c r="I92" s="395">
        <f t="shared" ref="I92:N92" si="6">SUM(I14:I15,I30:I31,I46:I47,I66:I67,I82:I83)</f>
        <v>0</v>
      </c>
      <c r="J92" s="420">
        <f t="shared" si="6"/>
        <v>18583.520000000004</v>
      </c>
      <c r="K92" s="422">
        <f>SUM(K14:K15,K30:K31,K46:K47,K66:K67)</f>
        <v>5638770.5</v>
      </c>
      <c r="L92" s="422">
        <f>SUM(L31,L47,L67)</f>
        <v>7025855.9681033995</v>
      </c>
      <c r="M92" s="421"/>
      <c r="N92" s="422">
        <f t="shared" si="6"/>
        <v>1993371.6198235999</v>
      </c>
      <c r="P92" s="394"/>
      <c r="Q92" s="394"/>
      <c r="R92" s="397"/>
      <c r="Y92"/>
    </row>
    <row r="93" spans="1:25" x14ac:dyDescent="0.2">
      <c r="A93" s="142"/>
      <c r="B93" s="429"/>
      <c r="C93" s="430" t="str">
        <f>$AA$19</f>
        <v>PGT (Other)</v>
      </c>
      <c r="D93" s="431"/>
      <c r="E93" s="432">
        <f>SUM(E16:E17,E32:E33,E48:E49,E68:E69,E84:E85)</f>
        <v>8534.11</v>
      </c>
      <c r="F93" s="433"/>
      <c r="G93" s="433"/>
      <c r="H93" s="433"/>
      <c r="I93" s="434">
        <f t="shared" ref="I93:J93" si="7">SUM(I16:I17,I32:I33,I48:I49,I68:I69,I84:I85)</f>
        <v>-0.5</v>
      </c>
      <c r="J93" s="435">
        <f t="shared" si="7"/>
        <v>8533.61</v>
      </c>
      <c r="K93" s="436">
        <f>SUM(K16:K17,K32:K33,K48:K49,K68:K69)</f>
        <v>6076323</v>
      </c>
      <c r="L93" s="436">
        <f>SUM(L33,L49,L69)</f>
        <v>1578407.4581231</v>
      </c>
      <c r="M93" s="437"/>
      <c r="N93" s="436">
        <f>SUM(N16:N17,N32:N33,N48:N49,N68:N69,N84:N85)</f>
        <v>557109.33980259998</v>
      </c>
      <c r="P93" s="433"/>
      <c r="Q93" s="433"/>
      <c r="R93" s="438"/>
      <c r="Y93"/>
    </row>
    <row r="94" spans="1:25" ht="14.25" thickBot="1" x14ac:dyDescent="0.25">
      <c r="A94" s="439"/>
      <c r="B94" s="439"/>
      <c r="C94" s="440" t="s">
        <v>4</v>
      </c>
      <c r="D94" s="441"/>
      <c r="E94" s="442">
        <f>SUM(E86:E93)</f>
        <v>1121073.6200000001</v>
      </c>
      <c r="F94" s="151">
        <f>SUM(F86,F90)</f>
        <v>22826.6</v>
      </c>
      <c r="G94" s="151">
        <f>SUM(G87,G91)</f>
        <v>2533.67</v>
      </c>
      <c r="H94" s="151">
        <f>SUM(H86,H90)</f>
        <v>118.32</v>
      </c>
      <c r="I94" s="151">
        <f t="shared" ref="I94:J94" si="8">SUM(I86:I93)</f>
        <v>1310.95</v>
      </c>
      <c r="J94" s="443">
        <f t="shared" si="8"/>
        <v>1147863.1600000001</v>
      </c>
      <c r="K94" s="444">
        <f>ROUND(SUM(K88:K89,K92:K93),0)</f>
        <v>33064642</v>
      </c>
      <c r="L94" s="444">
        <f>ROUND(SUM(L87:L89,L91:L93),0)</f>
        <v>35051300</v>
      </c>
      <c r="M94" s="444">
        <f>ROUND(M86,0)</f>
        <v>1524285</v>
      </c>
      <c r="N94" s="444">
        <f t="shared" ref="N94" si="9">ROUND(SUM(N86:N93),0)</f>
        <v>66899628</v>
      </c>
      <c r="P94" s="151">
        <f>SUM(P86,P90)</f>
        <v>24576.19</v>
      </c>
      <c r="Q94" s="151">
        <f>SUM(Q86:Q87,Q90:Q91)</f>
        <v>50054.78</v>
      </c>
      <c r="R94" s="152">
        <f>ROUND(SUM(R86:R87,R90:R91),0)</f>
        <v>2512600</v>
      </c>
      <c r="Y94"/>
    </row>
    <row r="95" spans="1:25" x14ac:dyDescent="0.2">
      <c r="K95" s="445"/>
      <c r="L95" s="445"/>
      <c r="M95" s="445"/>
      <c r="N95" s="445"/>
      <c r="Y95" s="516" t="s">
        <v>229</v>
      </c>
    </row>
    <row r="96" spans="1:25" x14ac:dyDescent="0.2">
      <c r="A96" s="12" t="s">
        <v>296</v>
      </c>
      <c r="K96" s="445"/>
      <c r="L96" s="445"/>
      <c r="M96" s="445"/>
      <c r="N96" s="445"/>
      <c r="Y96" s="516"/>
    </row>
    <row r="97" spans="1:25" x14ac:dyDescent="0.2">
      <c r="K97" s="445"/>
      <c r="L97" s="445"/>
      <c r="M97" s="445"/>
      <c r="N97" s="445"/>
      <c r="Y97" s="516"/>
    </row>
    <row r="98" spans="1:25" x14ac:dyDescent="0.2">
      <c r="A98" s="12" t="s">
        <v>292</v>
      </c>
      <c r="K98" s="445"/>
      <c r="L98" s="445"/>
      <c r="M98" s="445"/>
      <c r="N98" s="445"/>
      <c r="Y98" s="95" t="s">
        <v>37</v>
      </c>
    </row>
    <row r="99" spans="1:25" x14ac:dyDescent="0.2">
      <c r="A99" s="12" t="str">
        <f>IF(HEIFLAG="No",IF(FECHEALTHFLAG="No","","¹ Nursing, midwifery and allied health"),"² Nursing, midwifery and allied health")</f>
        <v>² Nursing, midwifery and allied health</v>
      </c>
      <c r="K99" s="445"/>
      <c r="L99" s="445"/>
      <c r="M99" s="445"/>
      <c r="N99" s="445"/>
    </row>
    <row r="101" spans="1:25" hidden="1" x14ac:dyDescent="0.2">
      <c r="E101" s="446" t="s">
        <v>49</v>
      </c>
      <c r="F101" s="446" t="s">
        <v>233</v>
      </c>
      <c r="G101" s="446" t="s">
        <v>235</v>
      </c>
      <c r="H101" s="446" t="s">
        <v>236</v>
      </c>
      <c r="I101" s="446" t="s">
        <v>144</v>
      </c>
      <c r="J101" s="446" t="s">
        <v>147</v>
      </c>
      <c r="K101" s="446" t="s">
        <v>148</v>
      </c>
      <c r="L101" s="446" t="s">
        <v>149</v>
      </c>
      <c r="M101" s="446" t="s">
        <v>150</v>
      </c>
      <c r="N101" s="446" t="s">
        <v>151</v>
      </c>
      <c r="P101" s="446" t="s">
        <v>234</v>
      </c>
      <c r="Q101" s="446" t="s">
        <v>160</v>
      </c>
      <c r="R101" s="447" t="s">
        <v>152</v>
      </c>
    </row>
    <row r="102" spans="1:25" s="23" customFormat="1" hidden="1" x14ac:dyDescent="0.2">
      <c r="E102" s="56"/>
      <c r="F102" s="56"/>
      <c r="G102" s="56"/>
      <c r="H102" s="56"/>
      <c r="I102" s="56"/>
      <c r="J102" s="56"/>
      <c r="K102" s="56"/>
      <c r="L102" s="56"/>
      <c r="M102" s="56"/>
      <c r="N102" s="56"/>
      <c r="O102" s="62"/>
      <c r="P102" s="56"/>
      <c r="Q102" s="56"/>
    </row>
    <row r="103" spans="1:25" hidden="1" x14ac:dyDescent="0.2">
      <c r="F103" s="12" t="s">
        <v>231</v>
      </c>
      <c r="H103" s="12" t="s">
        <v>229</v>
      </c>
      <c r="P103" s="12" t="s">
        <v>231</v>
      </c>
    </row>
    <row r="104" spans="1:25" hidden="1" x14ac:dyDescent="0.2">
      <c r="D104" s="15"/>
      <c r="E104" s="62"/>
      <c r="F104" s="448" t="s">
        <v>37</v>
      </c>
      <c r="G104" s="448" t="s">
        <v>37</v>
      </c>
      <c r="H104" s="515" t="s">
        <v>37</v>
      </c>
      <c r="I104" s="56"/>
      <c r="J104" s="56"/>
      <c r="K104" s="56"/>
      <c r="L104" s="56"/>
      <c r="M104" s="56"/>
      <c r="N104" s="56"/>
      <c r="O104"/>
      <c r="P104" s="448" t="s">
        <v>37</v>
      </c>
      <c r="Q104" s="448" t="s">
        <v>37</v>
      </c>
      <c r="R104" s="448" t="s">
        <v>37</v>
      </c>
    </row>
  </sheetData>
  <mergeCells count="14">
    <mergeCell ref="A1:J1"/>
    <mergeCell ref="B86:B89"/>
    <mergeCell ref="B58:B59"/>
    <mergeCell ref="P4:R4"/>
    <mergeCell ref="E4:E5"/>
    <mergeCell ref="F4:F5"/>
    <mergeCell ref="G4:G5"/>
    <mergeCell ref="H4:H5"/>
    <mergeCell ref="I4:I5"/>
    <mergeCell ref="J4:J5"/>
    <mergeCell ref="K4:K5"/>
    <mergeCell ref="L4:L5"/>
    <mergeCell ref="M4:M5"/>
    <mergeCell ref="N4:N5"/>
  </mergeCells>
  <phoneticPr fontId="0" type="noConversion"/>
  <conditionalFormatting sqref="E6:E94 F86 F90 F94:H94 H90 H86 G87 G91 I6:J94 H6:H7 H12:H13 F18:F19 G20:G21 F26:F27 G28:G29 F34:F35 G36:G37 F42:F43 G44:G45 F58 K8:K11 K14:K17 M19 L21 L23 L25 K22:K25 L29 L31 L33 K30:K33 M35 L37 L39 L41 L45 L47 L49 K46:K49 K38:K41 M51 L53 L55 L57 L65 L67 L69 K66:K69 K60:K61 K54:K57 M71 M86 L87:L89 K88:K89 K92:K94 L91:L94 M94 N6:N94 Q6:R7 Q12:R13 P18:P19 P26:P27 Q18:R21 Q26:R29 P34:P35 Q34:R37 Q42:R45 P42:P43 Q58:R58 P86 P90 P94:R97 Q90:R91 Q86:R87">
    <cfRule type="cellIs" dxfId="0" priority="1" operator="equal">
      <formula>0</formula>
    </cfRule>
  </conditionalFormatting>
  <pageMargins left="0.70866141732283472" right="0.70866141732283472" top="0.74803149606299213" bottom="0.74803149606299213" header="0.31496062992125984" footer="0.31496062992125984"/>
  <pageSetup paperSize="9" scale="52" fitToHeight="2" orientation="landscape" r:id="rId1"/>
  <rowBreaks count="1" manualBreakCount="1">
    <brk id="49" max="17" man="1"/>
  </rowBreaks>
  <ignoredErrors>
    <ignoredError sqref="G94" formula="1"/>
    <ignoredError sqref="K88:K93 Q86:R9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2"/>
  <sheetViews>
    <sheetView showGridLines="0" zoomScaleNormal="100" workbookViewId="0">
      <selection sqref="A1:G1"/>
    </sheetView>
  </sheetViews>
  <sheetFormatPr defaultColWidth="9.140625" defaultRowHeight="15" customHeight="1" x14ac:dyDescent="0.2"/>
  <cols>
    <col min="1" max="1" width="16.85546875" style="12" customWidth="1"/>
    <col min="2" max="2" width="18.140625" style="12" customWidth="1"/>
    <col min="3" max="3" width="16.7109375" style="12" customWidth="1"/>
    <col min="4" max="4" width="9.42578125" style="12" customWidth="1"/>
    <col min="5" max="5" width="11.5703125" style="12" customWidth="1"/>
    <col min="6" max="6" width="11.140625" style="12" bestFit="1" customWidth="1"/>
    <col min="7" max="7" width="11.140625" style="23" customWidth="1"/>
    <col min="8" max="8" width="13.5703125" style="23" bestFit="1" customWidth="1"/>
    <col min="9" max="9" width="12" style="23" customWidth="1"/>
    <col min="10" max="11" width="12" style="23" hidden="1" customWidth="1"/>
    <col min="12" max="12" width="11.85546875" style="12" hidden="1" customWidth="1"/>
    <col min="13" max="14" width="9.140625" style="12" customWidth="1"/>
    <col min="15" max="17" width="9.140625" style="12"/>
    <col min="18" max="18" width="14.7109375" style="12" bestFit="1" customWidth="1"/>
    <col min="19" max="16384" width="9.140625" style="12"/>
  </cols>
  <sheetData>
    <row r="1" spans="1:14" ht="15.75" customHeight="1" x14ac:dyDescent="0.25">
      <c r="A1" s="524" t="str">
        <f>'A Summary'!J8</f>
        <v xml:space="preserve">Sector summary of all providers </v>
      </c>
      <c r="B1" s="524"/>
      <c r="C1" s="524"/>
      <c r="D1" s="524"/>
      <c r="E1" s="524"/>
      <c r="F1" s="524"/>
      <c r="G1" s="524"/>
      <c r="H1" s="15" t="str">
        <f>DATE</f>
        <v>October 2018</v>
      </c>
      <c r="I1" s="15"/>
      <c r="J1" s="15"/>
      <c r="K1" s="15"/>
    </row>
    <row r="2" spans="1:14" ht="15" customHeight="1" x14ac:dyDescent="0.25">
      <c r="A2" s="449"/>
    </row>
    <row r="3" spans="1:14" ht="15.75" customHeight="1" x14ac:dyDescent="0.25">
      <c r="A3" s="596" t="s">
        <v>243</v>
      </c>
      <c r="B3" s="596"/>
      <c r="C3" s="596"/>
      <c r="D3" s="596"/>
      <c r="E3" s="596"/>
      <c r="F3" s="15"/>
      <c r="G3" s="450"/>
      <c r="H3" s="450"/>
      <c r="I3" s="450"/>
      <c r="J3" s="450"/>
      <c r="K3" s="450"/>
    </row>
    <row r="5" spans="1:14" ht="21" customHeight="1" thickBot="1" x14ac:dyDescent="0.25">
      <c r="A5" s="597" t="s">
        <v>276</v>
      </c>
      <c r="B5" s="597"/>
      <c r="C5" s="451"/>
      <c r="E5" s="23"/>
      <c r="F5" s="23"/>
    </row>
    <row r="6" spans="1:14" ht="15" customHeight="1" x14ac:dyDescent="0.2">
      <c r="A6" s="452" t="s">
        <v>13</v>
      </c>
      <c r="B6" s="464" t="s">
        <v>100</v>
      </c>
      <c r="C6" s="157"/>
      <c r="L6" s="12" t="s">
        <v>229</v>
      </c>
    </row>
    <row r="7" spans="1:14" ht="15" customHeight="1" x14ac:dyDescent="0.2">
      <c r="A7" s="454" t="s">
        <v>7</v>
      </c>
      <c r="B7" s="455">
        <v>10000</v>
      </c>
      <c r="D7" s="23"/>
      <c r="E7" s="23"/>
      <c r="F7" s="23"/>
      <c r="L7" s="95" t="s">
        <v>37</v>
      </c>
    </row>
    <row r="8" spans="1:14" ht="15" customHeight="1" x14ac:dyDescent="0.2">
      <c r="A8" s="456" t="s">
        <v>8</v>
      </c>
      <c r="B8" s="457">
        <v>1500</v>
      </c>
      <c r="D8" s="23"/>
      <c r="E8" s="23"/>
      <c r="F8" s="23"/>
      <c r="L8" s="23"/>
      <c r="N8" s="23"/>
    </row>
    <row r="9" spans="1:14" ht="15" customHeight="1" x14ac:dyDescent="0.2">
      <c r="A9" s="458" t="s">
        <v>29</v>
      </c>
      <c r="B9" s="459">
        <v>250</v>
      </c>
      <c r="D9" s="23"/>
      <c r="E9" s="23"/>
      <c r="F9" s="23"/>
      <c r="L9"/>
      <c r="N9" s="23"/>
    </row>
    <row r="10" spans="1:14" ht="15" customHeight="1" thickBot="1" x14ac:dyDescent="0.25">
      <c r="A10" s="460" t="s">
        <v>28</v>
      </c>
      <c r="B10" s="461">
        <v>1.01</v>
      </c>
      <c r="C10" s="157"/>
      <c r="L10" s="12" t="s">
        <v>229</v>
      </c>
    </row>
    <row r="11" spans="1:14" ht="15" customHeight="1" x14ac:dyDescent="0.2">
      <c r="B11" s="462"/>
      <c r="C11" s="463"/>
      <c r="L11" s="19" t="s">
        <v>37</v>
      </c>
      <c r="N11" s="13"/>
    </row>
    <row r="12" spans="1:14" ht="21" customHeight="1" thickBot="1" x14ac:dyDescent="0.25">
      <c r="A12" s="597" t="s">
        <v>43</v>
      </c>
      <c r="B12" s="597"/>
      <c r="C12" s="597"/>
      <c r="D12" s="597"/>
      <c r="L12" s="19" t="s">
        <v>37</v>
      </c>
      <c r="N12" s="13"/>
    </row>
    <row r="13" spans="1:14" ht="15" customHeight="1" x14ac:dyDescent="0.2">
      <c r="A13" s="464" t="s">
        <v>100</v>
      </c>
      <c r="C13" s="463"/>
      <c r="L13" s="19" t="s">
        <v>37</v>
      </c>
      <c r="N13" s="13"/>
    </row>
    <row r="14" spans="1:14" ht="15" customHeight="1" thickBot="1" x14ac:dyDescent="0.25">
      <c r="A14" s="465">
        <v>2315</v>
      </c>
      <c r="C14" s="463"/>
      <c r="L14" s="19" t="s">
        <v>37</v>
      </c>
      <c r="N14" s="13"/>
    </row>
    <row r="15" spans="1:14" ht="15" customHeight="1" x14ac:dyDescent="0.2">
      <c r="B15" s="462"/>
      <c r="C15" s="463"/>
      <c r="K15" s="15" t="s">
        <v>231</v>
      </c>
      <c r="L15" s="20" t="s">
        <v>37</v>
      </c>
      <c r="N15" s="13"/>
    </row>
    <row r="16" spans="1:14" ht="21" customHeight="1" thickBot="1" x14ac:dyDescent="0.25">
      <c r="A16" s="598" t="s">
        <v>227</v>
      </c>
      <c r="B16" s="598"/>
      <c r="C16" s="598"/>
      <c r="D16" s="598"/>
      <c r="L16" s="20" t="s">
        <v>37</v>
      </c>
      <c r="N16" s="13"/>
    </row>
    <row r="17" spans="1:14" ht="15" customHeight="1" x14ac:dyDescent="0.2">
      <c r="A17" s="466"/>
      <c r="B17" s="466"/>
      <c r="C17" s="599" t="s">
        <v>100</v>
      </c>
      <c r="D17" s="599"/>
      <c r="E17" s="467"/>
      <c r="L17" s="20" t="s">
        <v>37</v>
      </c>
      <c r="N17" s="13"/>
    </row>
    <row r="18" spans="1:14" ht="15" customHeight="1" x14ac:dyDescent="0.2">
      <c r="A18" s="429" t="s">
        <v>131</v>
      </c>
      <c r="B18" s="429"/>
      <c r="C18" s="513" t="s">
        <v>6</v>
      </c>
      <c r="D18" s="513" t="s">
        <v>79</v>
      </c>
      <c r="E18" s="468"/>
      <c r="L18" s="20" t="s">
        <v>37</v>
      </c>
      <c r="N18" s="13"/>
    </row>
    <row r="19" spans="1:14" ht="15" customHeight="1" x14ac:dyDescent="0.2">
      <c r="A19" s="469" t="s">
        <v>135</v>
      </c>
      <c r="B19" s="469"/>
      <c r="C19" s="470">
        <v>0</v>
      </c>
      <c r="D19" s="470">
        <v>0</v>
      </c>
      <c r="E19" s="471"/>
      <c r="K19" s="450" t="s">
        <v>229</v>
      </c>
      <c r="L19" s="19" t="s">
        <v>37</v>
      </c>
      <c r="N19" s="13"/>
    </row>
    <row r="20" spans="1:14" ht="15" customHeight="1" x14ac:dyDescent="0.2">
      <c r="A20" s="472" t="s">
        <v>136</v>
      </c>
      <c r="B20" s="472"/>
      <c r="C20" s="473">
        <v>0</v>
      </c>
      <c r="D20" s="473">
        <v>0</v>
      </c>
      <c r="E20" s="471"/>
      <c r="L20" s="19" t="s">
        <v>37</v>
      </c>
      <c r="N20" s="13"/>
    </row>
    <row r="21" spans="1:14" ht="15" customHeight="1" x14ac:dyDescent="0.2">
      <c r="A21" s="472" t="s">
        <v>137</v>
      </c>
      <c r="B21" s="472"/>
      <c r="C21" s="473">
        <v>0</v>
      </c>
      <c r="D21" s="473">
        <v>700</v>
      </c>
      <c r="E21" s="471"/>
      <c r="L21" s="19" t="s">
        <v>37</v>
      </c>
      <c r="N21" s="13"/>
    </row>
    <row r="22" spans="1:14" ht="15" customHeight="1" x14ac:dyDescent="0.2">
      <c r="A22" s="472" t="s">
        <v>138</v>
      </c>
      <c r="B22" s="472"/>
      <c r="C22" s="473">
        <v>0</v>
      </c>
      <c r="D22" s="473">
        <v>700</v>
      </c>
      <c r="E22" s="471"/>
      <c r="L22" s="19" t="s">
        <v>37</v>
      </c>
      <c r="N22" s="13"/>
    </row>
    <row r="23" spans="1:14" ht="15" customHeight="1" x14ac:dyDescent="0.2">
      <c r="A23" s="474" t="s">
        <v>101</v>
      </c>
      <c r="B23" s="474"/>
      <c r="C23" s="475">
        <v>200</v>
      </c>
      <c r="D23" s="475">
        <v>900</v>
      </c>
      <c r="E23" s="471"/>
      <c r="L23" s="19" t="s">
        <v>37</v>
      </c>
      <c r="N23" s="13"/>
    </row>
    <row r="24" spans="1:14" ht="15" customHeight="1" x14ac:dyDescent="0.2">
      <c r="A24" s="472" t="s">
        <v>102</v>
      </c>
      <c r="B24" s="472"/>
      <c r="C24" s="473">
        <v>400</v>
      </c>
      <c r="D24" s="473">
        <v>1100</v>
      </c>
      <c r="E24" s="471"/>
      <c r="L24" s="19" t="s">
        <v>37</v>
      </c>
      <c r="N24" s="13"/>
    </row>
    <row r="25" spans="1:14" ht="15" customHeight="1" x14ac:dyDescent="0.2">
      <c r="A25" s="472" t="s">
        <v>108</v>
      </c>
      <c r="B25" s="472"/>
      <c r="C25" s="473">
        <v>400</v>
      </c>
      <c r="D25" s="473">
        <v>1100</v>
      </c>
      <c r="E25" s="471"/>
      <c r="L25" s="19" t="s">
        <v>37</v>
      </c>
      <c r="N25" s="13"/>
    </row>
    <row r="26" spans="1:14" ht="15" customHeight="1" x14ac:dyDescent="0.2">
      <c r="A26" s="472" t="s">
        <v>103</v>
      </c>
      <c r="B26" s="472"/>
      <c r="C26" s="473">
        <v>200</v>
      </c>
      <c r="D26" s="473">
        <v>900</v>
      </c>
      <c r="E26" s="471"/>
      <c r="L26" s="19" t="s">
        <v>37</v>
      </c>
      <c r="N26" s="13"/>
    </row>
    <row r="27" spans="1:14" ht="15" customHeight="1" x14ac:dyDescent="0.2">
      <c r="A27" s="472" t="s">
        <v>105</v>
      </c>
      <c r="B27" s="472"/>
      <c r="C27" s="473">
        <v>200</v>
      </c>
      <c r="D27" s="473">
        <v>900</v>
      </c>
      <c r="E27" s="471"/>
      <c r="L27" s="19" t="s">
        <v>37</v>
      </c>
      <c r="N27" s="13"/>
    </row>
    <row r="28" spans="1:14" ht="15" customHeight="1" x14ac:dyDescent="0.2">
      <c r="A28" s="472" t="s">
        <v>139</v>
      </c>
      <c r="B28" s="472"/>
      <c r="C28" s="473">
        <v>0</v>
      </c>
      <c r="D28" s="473">
        <v>700</v>
      </c>
      <c r="E28" s="471"/>
      <c r="L28" s="19" t="s">
        <v>37</v>
      </c>
      <c r="N28" s="13"/>
    </row>
    <row r="29" spans="1:14" ht="15" customHeight="1" x14ac:dyDescent="0.2">
      <c r="A29" s="472" t="s">
        <v>140</v>
      </c>
      <c r="B29" s="472"/>
      <c r="C29" s="473">
        <v>0</v>
      </c>
      <c r="D29" s="473">
        <v>700</v>
      </c>
      <c r="E29" s="471"/>
      <c r="L29" s="19" t="s">
        <v>37</v>
      </c>
      <c r="N29" s="13"/>
    </row>
    <row r="30" spans="1:14" ht="15.75" customHeight="1" x14ac:dyDescent="0.2">
      <c r="A30" s="392" t="s">
        <v>110</v>
      </c>
      <c r="B30" s="392"/>
      <c r="C30" s="473">
        <v>3500</v>
      </c>
      <c r="D30" s="473">
        <v>4200</v>
      </c>
      <c r="E30" s="471"/>
      <c r="L30" s="19" t="s">
        <v>37</v>
      </c>
      <c r="N30" s="13"/>
    </row>
    <row r="31" spans="1:14" ht="15" customHeight="1" x14ac:dyDescent="0.2">
      <c r="A31" s="392" t="s">
        <v>111</v>
      </c>
      <c r="B31" s="392"/>
      <c r="C31" s="473">
        <v>3500</v>
      </c>
      <c r="D31" s="473">
        <v>4200</v>
      </c>
      <c r="E31" s="471"/>
      <c r="L31" s="19" t="s">
        <v>37</v>
      </c>
      <c r="N31" s="13"/>
    </row>
    <row r="32" spans="1:14" ht="15" customHeight="1" x14ac:dyDescent="0.2">
      <c r="A32" s="392" t="s">
        <v>141</v>
      </c>
      <c r="B32" s="392"/>
      <c r="C32" s="473">
        <v>0</v>
      </c>
      <c r="D32" s="473">
        <v>700</v>
      </c>
      <c r="E32" s="471"/>
      <c r="L32" s="19" t="s">
        <v>37</v>
      </c>
      <c r="N32" s="13"/>
    </row>
    <row r="33" spans="1:14" ht="15" customHeight="1" x14ac:dyDescent="0.2">
      <c r="A33" s="476" t="s">
        <v>109</v>
      </c>
      <c r="B33" s="476"/>
      <c r="C33" s="473">
        <v>1200</v>
      </c>
      <c r="D33" s="473">
        <v>1900</v>
      </c>
      <c r="E33" s="471"/>
      <c r="K33" s="450" t="s">
        <v>231</v>
      </c>
      <c r="L33" s="20" t="s">
        <v>37</v>
      </c>
      <c r="N33" s="13"/>
    </row>
    <row r="34" spans="1:14" ht="15" customHeight="1" x14ac:dyDescent="0.2">
      <c r="A34" s="472" t="s">
        <v>104</v>
      </c>
      <c r="B34" s="472"/>
      <c r="C34" s="473">
        <v>1200</v>
      </c>
      <c r="D34" s="473">
        <v>1900</v>
      </c>
      <c r="E34" s="471"/>
      <c r="K34" s="450" t="s">
        <v>229</v>
      </c>
      <c r="L34" s="19" t="s">
        <v>37</v>
      </c>
      <c r="N34" s="13"/>
    </row>
    <row r="35" spans="1:14" ht="15" customHeight="1" x14ac:dyDescent="0.2">
      <c r="A35" s="472" t="s">
        <v>106</v>
      </c>
      <c r="B35" s="472"/>
      <c r="C35" s="473">
        <v>1200</v>
      </c>
      <c r="D35" s="473">
        <v>1900</v>
      </c>
      <c r="E35" s="471"/>
      <c r="L35" s="19" t="s">
        <v>37</v>
      </c>
      <c r="N35" s="13"/>
    </row>
    <row r="36" spans="1:14" ht="15" customHeight="1" thickBot="1" x14ac:dyDescent="0.25">
      <c r="A36" s="477" t="s">
        <v>107</v>
      </c>
      <c r="B36" s="477"/>
      <c r="C36" s="478">
        <v>200</v>
      </c>
      <c r="D36" s="478">
        <v>900</v>
      </c>
      <c r="E36" s="471"/>
      <c r="L36" s="19" t="s">
        <v>37</v>
      </c>
      <c r="N36" s="13"/>
    </row>
    <row r="37" spans="1:14" ht="15" customHeight="1" x14ac:dyDescent="0.2">
      <c r="A37" s="479"/>
      <c r="B37" s="480"/>
      <c r="C37" s="481"/>
      <c r="D37" s="82"/>
      <c r="K37" s="450" t="s">
        <v>231</v>
      </c>
      <c r="L37" s="20" t="s">
        <v>37</v>
      </c>
      <c r="N37" s="13"/>
    </row>
    <row r="38" spans="1:14" ht="15" hidden="1" customHeight="1" x14ac:dyDescent="0.2">
      <c r="A38" s="482"/>
      <c r="B38" s="471"/>
      <c r="C38" s="483"/>
      <c r="D38" s="157"/>
      <c r="K38" s="450" t="s">
        <v>239</v>
      </c>
      <c r="L38" s="20" t="s">
        <v>39</v>
      </c>
      <c r="N38" s="13"/>
    </row>
    <row r="39" spans="1:14" ht="21" customHeight="1" thickBot="1" x14ac:dyDescent="0.25">
      <c r="A39" s="597" t="s">
        <v>54</v>
      </c>
      <c r="B39" s="597"/>
      <c r="C39" s="597"/>
      <c r="D39" s="484"/>
      <c r="E39" s="484"/>
      <c r="F39" s="484"/>
      <c r="G39" s="485"/>
      <c r="H39" s="485"/>
      <c r="I39" s="485"/>
      <c r="J39" s="485"/>
      <c r="K39" s="485"/>
      <c r="L39"/>
    </row>
    <row r="40" spans="1:14" ht="15" customHeight="1" x14ac:dyDescent="0.2">
      <c r="A40" s="452" t="s">
        <v>13</v>
      </c>
      <c r="B40" s="453" t="s">
        <v>5</v>
      </c>
      <c r="C40" s="464" t="s">
        <v>100</v>
      </c>
      <c r="D40" s="484"/>
      <c r="E40" s="484"/>
      <c r="F40" s="484"/>
      <c r="G40" s="485"/>
      <c r="H40" s="485"/>
      <c r="I40" s="485"/>
      <c r="J40" s="485"/>
      <c r="K40" s="485"/>
      <c r="L40"/>
    </row>
    <row r="41" spans="1:14" ht="15" customHeight="1" x14ac:dyDescent="0.2">
      <c r="A41" s="486" t="str">
        <f>K41</f>
        <v>A, B, C1 and C2</v>
      </c>
      <c r="B41" s="487" t="str">
        <f>K42</f>
        <v>PGT (Masters loan)</v>
      </c>
      <c r="C41" s="488">
        <v>550</v>
      </c>
      <c r="D41" s="484"/>
      <c r="E41" s="484"/>
      <c r="F41" s="484"/>
      <c r="G41" s="485"/>
      <c r="H41" s="485"/>
      <c r="I41" s="485"/>
      <c r="J41" s="485"/>
      <c r="K41" s="12" t="str">
        <f>IF(HEIFLAG="No","B, C1 and C2","A, B, C1 and C2")</f>
        <v>A, B, C1 and C2</v>
      </c>
      <c r="L41"/>
    </row>
    <row r="42" spans="1:14" ht="15" customHeight="1" thickBot="1" x14ac:dyDescent="0.25">
      <c r="A42" s="489" t="str">
        <f>K41</f>
        <v>A, B, C1 and C2</v>
      </c>
      <c r="B42" s="490" t="str">
        <f>K43</f>
        <v>PGT (Other)</v>
      </c>
      <c r="C42" s="491">
        <v>1100</v>
      </c>
      <c r="D42" s="484"/>
      <c r="E42" s="484"/>
      <c r="F42" s="484"/>
      <c r="G42" s="485"/>
      <c r="H42" s="485"/>
      <c r="I42" s="485"/>
      <c r="J42" s="485"/>
      <c r="K42" s="12" t="str">
        <f>IF(HEIFLAG="No","PG (Masters loan)","PGT (Masters loan)")</f>
        <v>PGT (Masters loan)</v>
      </c>
      <c r="L42"/>
    </row>
    <row r="43" spans="1:14" ht="15" customHeight="1" x14ac:dyDescent="0.2">
      <c r="A43" s="23"/>
      <c r="B43" s="492"/>
      <c r="C43" s="493"/>
      <c r="D43" s="484"/>
      <c r="E43" s="484"/>
      <c r="F43" s="484"/>
      <c r="G43" s="485"/>
      <c r="H43" s="485"/>
      <c r="I43" s="485"/>
      <c r="J43" s="485"/>
      <c r="K43" s="494" t="str">
        <f>IF(HEIFLAG="No","PG (Other)","PGT (Other)")</f>
        <v>PGT (Other)</v>
      </c>
      <c r="L43"/>
    </row>
    <row r="44" spans="1:14" ht="21" customHeight="1" thickBot="1" x14ac:dyDescent="0.25">
      <c r="A44" s="597" t="s">
        <v>31</v>
      </c>
      <c r="B44" s="597"/>
      <c r="C44" s="597"/>
      <c r="D44" s="484"/>
      <c r="E44" s="484"/>
      <c r="F44" s="484"/>
      <c r="G44" s="485"/>
      <c r="H44" s="485"/>
      <c r="I44" s="485"/>
      <c r="J44" s="485"/>
      <c r="K44" s="485"/>
      <c r="L44"/>
    </row>
    <row r="45" spans="1:14" ht="15" customHeight="1" x14ac:dyDescent="0.2">
      <c r="A45" s="452" t="s">
        <v>13</v>
      </c>
      <c r="B45" s="464" t="s">
        <v>100</v>
      </c>
      <c r="C45" s="493"/>
      <c r="D45" s="484"/>
      <c r="E45" s="484"/>
      <c r="F45" s="484"/>
      <c r="G45" s="485"/>
      <c r="H45" s="485"/>
      <c r="I45" s="485"/>
      <c r="J45" s="485"/>
      <c r="K45" s="485"/>
      <c r="L45"/>
    </row>
    <row r="46" spans="1:14" ht="15" customHeight="1" x14ac:dyDescent="0.2">
      <c r="A46" s="495" t="s">
        <v>8</v>
      </c>
      <c r="B46" s="496">
        <v>1108.09302</v>
      </c>
      <c r="C46" s="493"/>
      <c r="D46" s="484"/>
      <c r="E46" s="484"/>
      <c r="F46" s="484"/>
      <c r="G46" s="485"/>
      <c r="H46" s="485"/>
      <c r="I46" s="485"/>
      <c r="J46" s="485"/>
      <c r="K46" s="485"/>
      <c r="L46"/>
    </row>
    <row r="47" spans="1:14" ht="15" customHeight="1" thickBot="1" x14ac:dyDescent="0.25">
      <c r="A47" s="497" t="s">
        <v>41</v>
      </c>
      <c r="B47" s="498">
        <v>847.36524999999995</v>
      </c>
      <c r="C47" s="493"/>
      <c r="D47" s="484"/>
      <c r="E47" s="484"/>
      <c r="F47" s="484"/>
      <c r="G47" s="485"/>
      <c r="H47" s="485"/>
      <c r="I47" s="485"/>
      <c r="J47" s="485"/>
      <c r="K47" s="485"/>
      <c r="L47"/>
    </row>
    <row r="48" spans="1:14" ht="15" customHeight="1" x14ac:dyDescent="0.2">
      <c r="A48" s="495"/>
      <c r="B48" s="496"/>
      <c r="C48" s="493"/>
      <c r="D48" s="484"/>
      <c r="E48" s="484"/>
      <c r="F48" s="484"/>
      <c r="G48" s="485"/>
      <c r="H48" s="485"/>
      <c r="I48" s="485"/>
      <c r="J48" s="485"/>
      <c r="K48" s="485"/>
      <c r="L48"/>
    </row>
    <row r="49" spans="1:12" ht="21" customHeight="1" thickBot="1" x14ac:dyDescent="0.25">
      <c r="A49" s="597" t="s">
        <v>277</v>
      </c>
      <c r="B49" s="597"/>
      <c r="C49" s="597"/>
      <c r="D49" s="597"/>
      <c r="E49" s="484"/>
      <c r="F49" s="484"/>
      <c r="G49" s="485"/>
      <c r="H49" s="485"/>
      <c r="I49" s="485"/>
      <c r="J49" s="485"/>
      <c r="K49" s="485"/>
      <c r="L49"/>
    </row>
    <row r="50" spans="1:12" ht="15" customHeight="1" x14ac:dyDescent="0.2">
      <c r="A50" s="452" t="s">
        <v>13</v>
      </c>
      <c r="B50" s="464" t="s">
        <v>100</v>
      </c>
      <c r="C50" s="493"/>
      <c r="D50" s="484"/>
      <c r="E50" s="484"/>
      <c r="F50" s="484"/>
      <c r="G50" s="485"/>
      <c r="H50" s="485"/>
      <c r="I50" s="485"/>
      <c r="J50" s="485"/>
      <c r="K50" s="485"/>
      <c r="L50"/>
    </row>
    <row r="51" spans="1:12" ht="15" customHeight="1" x14ac:dyDescent="0.2">
      <c r="A51" s="499" t="s">
        <v>8</v>
      </c>
      <c r="B51" s="500">
        <v>1438.56954</v>
      </c>
      <c r="C51" s="493"/>
      <c r="D51" s="484"/>
      <c r="E51" s="484"/>
      <c r="F51" s="484"/>
      <c r="G51" s="485"/>
      <c r="H51" s="485"/>
      <c r="I51" s="485"/>
      <c r="J51" s="485"/>
      <c r="K51" s="485"/>
      <c r="L51"/>
    </row>
    <row r="52" spans="1:12" ht="15" customHeight="1" x14ac:dyDescent="0.2">
      <c r="A52" s="501" t="s">
        <v>41</v>
      </c>
      <c r="B52" s="502">
        <v>1100.08259</v>
      </c>
      <c r="C52" s="493"/>
      <c r="D52" s="484"/>
      <c r="E52" s="484"/>
      <c r="F52" s="484"/>
      <c r="G52" s="485"/>
      <c r="H52" s="485"/>
      <c r="I52" s="485"/>
      <c r="J52" s="485"/>
      <c r="K52" s="485"/>
      <c r="L52"/>
    </row>
    <row r="53" spans="1:12" ht="15" customHeight="1" thickBot="1" x14ac:dyDescent="0.25">
      <c r="A53" s="497" t="s">
        <v>9</v>
      </c>
      <c r="B53" s="498">
        <v>846.21738000000005</v>
      </c>
      <c r="C53" s="493"/>
      <c r="D53" s="484"/>
      <c r="E53" s="484"/>
      <c r="F53" s="484"/>
      <c r="G53" s="485"/>
      <c r="H53" s="485"/>
      <c r="I53" s="485"/>
      <c r="J53" s="485"/>
      <c r="K53" s="485"/>
      <c r="L53"/>
    </row>
    <row r="54" spans="1:12" ht="15" customHeight="1" x14ac:dyDescent="0.2">
      <c r="A54" s="495"/>
      <c r="B54" s="496"/>
      <c r="C54" s="493"/>
      <c r="D54" s="484"/>
      <c r="E54" s="484"/>
      <c r="F54" s="484"/>
      <c r="G54" s="485"/>
      <c r="H54" s="485"/>
      <c r="I54" s="485"/>
      <c r="J54" s="485"/>
      <c r="K54" s="485"/>
      <c r="L54"/>
    </row>
    <row r="55" spans="1:12" ht="21" customHeight="1" thickBot="1" x14ac:dyDescent="0.25">
      <c r="A55" s="597" t="s">
        <v>42</v>
      </c>
      <c r="B55" s="597"/>
      <c r="C55" s="597"/>
      <c r="D55" s="484"/>
      <c r="E55" s="484"/>
      <c r="F55" s="484"/>
      <c r="G55" s="485"/>
      <c r="H55" s="485"/>
      <c r="I55" s="485"/>
      <c r="J55" s="485"/>
      <c r="K55" s="485"/>
      <c r="L55"/>
    </row>
    <row r="56" spans="1:12" ht="15" customHeight="1" x14ac:dyDescent="0.2">
      <c r="A56" s="452" t="s">
        <v>13</v>
      </c>
      <c r="B56" s="464" t="s">
        <v>100</v>
      </c>
      <c r="C56" s="493"/>
      <c r="D56" s="484"/>
      <c r="E56" s="484"/>
      <c r="G56" s="503"/>
      <c r="H56" s="503"/>
      <c r="I56" s="503"/>
      <c r="J56" s="504" t="s">
        <v>32</v>
      </c>
      <c r="K56" s="503"/>
      <c r="L56" s="505" t="s">
        <v>229</v>
      </c>
    </row>
    <row r="57" spans="1:12" ht="15" customHeight="1" x14ac:dyDescent="0.2">
      <c r="A57" s="499" t="s">
        <v>7</v>
      </c>
      <c r="B57" s="500" t="s">
        <v>293</v>
      </c>
      <c r="C57" s="493"/>
      <c r="D57" s="484"/>
      <c r="E57" s="484"/>
      <c r="G57" s="53"/>
      <c r="H57" s="53"/>
      <c r="I57" s="53"/>
      <c r="J57" s="154" t="s">
        <v>7</v>
      </c>
      <c r="K57" s="53"/>
      <c r="L57" s="506"/>
    </row>
    <row r="58" spans="1:12" ht="15" customHeight="1" x14ac:dyDescent="0.2">
      <c r="A58" s="501" t="s">
        <v>8</v>
      </c>
      <c r="B58" s="502" t="s">
        <v>293</v>
      </c>
      <c r="C58" s="493"/>
      <c r="D58" s="484"/>
      <c r="E58" s="484"/>
      <c r="G58" s="53"/>
      <c r="H58" s="53"/>
      <c r="I58" s="53"/>
      <c r="J58" s="154" t="s">
        <v>8</v>
      </c>
      <c r="K58" s="53"/>
      <c r="L58" s="505"/>
    </row>
    <row r="59" spans="1:12" ht="15" customHeight="1" x14ac:dyDescent="0.2">
      <c r="A59" s="507" t="s">
        <v>41</v>
      </c>
      <c r="B59" s="502" t="s">
        <v>293</v>
      </c>
      <c r="C59" s="493"/>
      <c r="D59" s="484"/>
      <c r="E59" s="484"/>
      <c r="G59" s="53"/>
      <c r="H59" s="53"/>
      <c r="I59" s="53"/>
      <c r="J59" s="154" t="s">
        <v>29</v>
      </c>
      <c r="K59" s="53"/>
      <c r="L59" s="505"/>
    </row>
    <row r="60" spans="1:12" ht="15" customHeight="1" thickBot="1" x14ac:dyDescent="0.25">
      <c r="A60" s="508" t="s">
        <v>9</v>
      </c>
      <c r="B60" s="498" t="s">
        <v>293</v>
      </c>
      <c r="C60" s="493"/>
      <c r="D60" s="484"/>
      <c r="E60" s="484"/>
      <c r="G60" s="53"/>
      <c r="H60" s="53"/>
      <c r="I60" s="53"/>
      <c r="J60" s="154" t="s">
        <v>9</v>
      </c>
      <c r="K60" s="53"/>
      <c r="L60" s="505"/>
    </row>
    <row r="61" spans="1:12" ht="15" customHeight="1" x14ac:dyDescent="0.2">
      <c r="A61" s="23"/>
      <c r="C61" s="23"/>
      <c r="D61" s="23"/>
      <c r="E61" s="23"/>
      <c r="F61" s="23"/>
    </row>
    <row r="62" spans="1:12" ht="15" hidden="1" customHeight="1" x14ac:dyDescent="0.2">
      <c r="B62" s="509" t="s">
        <v>64</v>
      </c>
    </row>
  </sheetData>
  <sortState ref="B29:B39">
    <sortCondition ref="B29"/>
  </sortState>
  <mergeCells count="10">
    <mergeCell ref="A55:C55"/>
    <mergeCell ref="A44:C44"/>
    <mergeCell ref="A39:C39"/>
    <mergeCell ref="A16:D16"/>
    <mergeCell ref="C17:D17"/>
    <mergeCell ref="A3:E3"/>
    <mergeCell ref="A1:G1"/>
    <mergeCell ref="A49:D49"/>
    <mergeCell ref="A5:B5"/>
    <mergeCell ref="A12:D12"/>
  </mergeCells>
  <phoneticPr fontId="0" type="noConversion"/>
  <hyperlinks>
    <hyperlink ref="A5" location="'B High-cost'!A1" display="High-cost subject funding"/>
    <hyperlink ref="A12" location="'D Erasmus+'!A1" display="Erasmus+ and overseas study programmes"/>
    <hyperlink ref="A16" location="'E Health supplement'!A1" display="Nursing and allied health supplement"/>
    <hyperlink ref="A39" location="PGTS_TA" display="Postgraduate taught supplement"/>
    <hyperlink ref="A44" location="INT_TA" display="Intensive postgraduate provision"/>
    <hyperlink ref="A49" location="ACCL_TA" display="Accelerated full-time undergraduate provision"/>
    <hyperlink ref="A55" location="LOND_TA" display="Students attending courses in London"/>
    <hyperlink ref="A5:B5" location="HIGHCOST" display="High-cost subject funding"/>
    <hyperlink ref="A12:C12" location="ERAS_TA" display="Erasmus+ and overseas study programmes"/>
    <hyperlink ref="A16:D16" location="HEALTH_TA" display="Nursing and allied health supplement"/>
  </hyperlinks>
  <pageMargins left="0.70866141732283472" right="0.70866141732283472" top="0.74803149606299213" bottom="0.74803149606299213" header="0.31496062992125984" footer="0.31496062992125984"/>
  <pageSetup paperSize="9" scale="81" orientation="portrait" r:id="rId1"/>
  <ignoredErrors>
    <ignoredError sqref="A1:H56 A61:H61 A57 C57:H57 A58 C58:H58 A59 C59:H59 A60 C60:H6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138</vt:i4>
      </vt:variant>
    </vt:vector>
  </HeadingPairs>
  <TitlesOfParts>
    <vt:vector size="146" baseType="lpstr">
      <vt:lpstr>Information</vt:lpstr>
      <vt:lpstr>A Summary</vt:lpstr>
      <vt:lpstr>B High-cost</vt:lpstr>
      <vt:lpstr>C Student premium</vt:lpstr>
      <vt:lpstr>D Erasmus+</vt:lpstr>
      <vt:lpstr>E NMAH supplement</vt:lpstr>
      <vt:lpstr>F Other TAs</vt:lpstr>
      <vt:lpstr>G Parameters</vt:lpstr>
      <vt:lpstr>A_datacols1</vt:lpstr>
      <vt:lpstr>A_datacols2</vt:lpstr>
      <vt:lpstr>A_hidecols</vt:lpstr>
      <vt:lpstr>A_hidecols1</vt:lpstr>
      <vt:lpstr>A_hiderows</vt:lpstr>
      <vt:lpstr>A_hiderows1</vt:lpstr>
      <vt:lpstr>A_hiderows2</vt:lpstr>
      <vt:lpstr>A_rowtags1</vt:lpstr>
      <vt:lpstr>A_rowtags2</vt:lpstr>
      <vt:lpstr>A_rowtags3</vt:lpstr>
      <vt:lpstr>A_rowvars</vt:lpstr>
      <vt:lpstr>ACCL_TA</vt:lpstr>
      <vt:lpstr>B_datacols1</vt:lpstr>
      <vt:lpstr>B_datacols2</vt:lpstr>
      <vt:lpstr>B_hidecols</vt:lpstr>
      <vt:lpstr>B_hidecols1</vt:lpstr>
      <vt:lpstr>B_hidecols2</vt:lpstr>
      <vt:lpstr>B_hidecols3</vt:lpstr>
      <vt:lpstr>B_hidecols4</vt:lpstr>
      <vt:lpstr>B_hidecols5</vt:lpstr>
      <vt:lpstr>B_hidecols6</vt:lpstr>
      <vt:lpstr>B_hidecols7</vt:lpstr>
      <vt:lpstr>B_hiderows</vt:lpstr>
      <vt:lpstr>B_hiderows1</vt:lpstr>
      <vt:lpstr>B_hiderows2</vt:lpstr>
      <vt:lpstr>B_rowtags</vt:lpstr>
      <vt:lpstr>B_rowvars</vt:lpstr>
      <vt:lpstr>C_datacols</vt:lpstr>
      <vt:lpstr>C_hiderows</vt:lpstr>
      <vt:lpstr>C_hiderows1</vt:lpstr>
      <vt:lpstr>C_hiderows2</vt:lpstr>
      <vt:lpstr>C_hiderows3</vt:lpstr>
      <vt:lpstr>C_hiderows4</vt:lpstr>
      <vt:lpstr>C_hiderows5</vt:lpstr>
      <vt:lpstr>C_rowtags1</vt:lpstr>
      <vt:lpstr>C_rowtags10</vt:lpstr>
      <vt:lpstr>C_rowtags11</vt:lpstr>
      <vt:lpstr>C_rowtags12</vt:lpstr>
      <vt:lpstr>C_rowtags13</vt:lpstr>
      <vt:lpstr>C_rowtags14</vt:lpstr>
      <vt:lpstr>C_rowtags15</vt:lpstr>
      <vt:lpstr>C_rowtags16</vt:lpstr>
      <vt:lpstr>C_rowtags2</vt:lpstr>
      <vt:lpstr>C_rowtags3</vt:lpstr>
      <vt:lpstr>C_rowtags4</vt:lpstr>
      <vt:lpstr>C_rowtags5</vt:lpstr>
      <vt:lpstr>C_rowtags6</vt:lpstr>
      <vt:lpstr>C_rowtags7</vt:lpstr>
      <vt:lpstr>C_rowtags8</vt:lpstr>
      <vt:lpstr>C_rowtags9</vt:lpstr>
      <vt:lpstr>C_rowvars</vt:lpstr>
      <vt:lpstr>D_coltags1</vt:lpstr>
      <vt:lpstr>D_coltags2</vt:lpstr>
      <vt:lpstr>D_coltags3</vt:lpstr>
      <vt:lpstr>D_colvars</vt:lpstr>
      <vt:lpstr>D_datacols</vt:lpstr>
      <vt:lpstr>D_hidesheet</vt:lpstr>
      <vt:lpstr>D_rowtags</vt:lpstr>
      <vt:lpstr>D_rowvars</vt:lpstr>
      <vt:lpstr>DATE</vt:lpstr>
      <vt:lpstr>DIS_WHCOUNT</vt:lpstr>
      <vt:lpstr>DISABLED</vt:lpstr>
      <vt:lpstr>E_coltags1</vt:lpstr>
      <vt:lpstr>E_coltags2</vt:lpstr>
      <vt:lpstr>E_coltags3</vt:lpstr>
      <vt:lpstr>E_colvars</vt:lpstr>
      <vt:lpstr>E_datacols</vt:lpstr>
      <vt:lpstr>E_hiderows</vt:lpstr>
      <vt:lpstr>E_hiderows1</vt:lpstr>
      <vt:lpstr>E_hiderows2</vt:lpstr>
      <vt:lpstr>E_hidesheet</vt:lpstr>
      <vt:lpstr>E_rowtags</vt:lpstr>
      <vt:lpstr>E_rowvars</vt:lpstr>
      <vt:lpstr>ERAS_TA</vt:lpstr>
      <vt:lpstr>F_datacols1</vt:lpstr>
      <vt:lpstr>F_datacols2</vt:lpstr>
      <vt:lpstr>F_hidecols</vt:lpstr>
      <vt:lpstr>F_hidecols1</vt:lpstr>
      <vt:lpstr>F_hidecols2</vt:lpstr>
      <vt:lpstr>F_hidecols3</vt:lpstr>
      <vt:lpstr>F_hidecols4</vt:lpstr>
      <vt:lpstr>F_hidecols5</vt:lpstr>
      <vt:lpstr>F_hidecols6</vt:lpstr>
      <vt:lpstr>F_hiderows</vt:lpstr>
      <vt:lpstr>F_hiderows1</vt:lpstr>
      <vt:lpstr>F_hiderows2</vt:lpstr>
      <vt:lpstr>F_rowtags</vt:lpstr>
      <vt:lpstr>F_rowvars</vt:lpstr>
      <vt:lpstr>FECHEALTHFLAG</vt:lpstr>
      <vt:lpstr>G_datacols</vt:lpstr>
      <vt:lpstr>G_hiderows</vt:lpstr>
      <vt:lpstr>G_hiderows1</vt:lpstr>
      <vt:lpstr>G_hiderows2</vt:lpstr>
      <vt:lpstr>G_hiderows3</vt:lpstr>
      <vt:lpstr>G_hiderows4</vt:lpstr>
      <vt:lpstr>G_hiderows5</vt:lpstr>
      <vt:lpstr>G_hiderows6</vt:lpstr>
      <vt:lpstr>G_hiderows7</vt:lpstr>
      <vt:lpstr>G_hiderows8</vt:lpstr>
      <vt:lpstr>G_hiderows9</vt:lpstr>
      <vt:lpstr>G_rowtags</vt:lpstr>
      <vt:lpstr>G_rowvars</vt:lpstr>
      <vt:lpstr>HEALTH_TA</vt:lpstr>
      <vt:lpstr>HEIFLAG</vt:lpstr>
      <vt:lpstr>HIGHCOST</vt:lpstr>
      <vt:lpstr>Inf_hiderows</vt:lpstr>
      <vt:lpstr>Inf_hiderows1</vt:lpstr>
      <vt:lpstr>Inf_hiderows2</vt:lpstr>
      <vt:lpstr>Inf_hiderows3</vt:lpstr>
      <vt:lpstr>Inf_hiderows4</vt:lpstr>
      <vt:lpstr>INT_TA</vt:lpstr>
      <vt:lpstr>LOND_TA</vt:lpstr>
      <vt:lpstr>MEDDENTFLAG</vt:lpstr>
      <vt:lpstr>NEWPROVFLAG</vt:lpstr>
      <vt:lpstr>PGTS_TA</vt:lpstr>
      <vt:lpstr>'A Summary'!Print_Area</vt:lpstr>
      <vt:lpstr>'B High-cost'!Print_Area</vt:lpstr>
      <vt:lpstr>'C Student premium'!Print_Area</vt:lpstr>
      <vt:lpstr>'D Erasmus+'!Print_Area</vt:lpstr>
      <vt:lpstr>'E NMAH supplement'!Print_Area</vt:lpstr>
      <vt:lpstr>'F Other TAs'!Print_Area</vt:lpstr>
      <vt:lpstr>'G Parameters'!Print_Area</vt:lpstr>
      <vt:lpstr>Information!Print_Area</vt:lpstr>
      <vt:lpstr>'F Other TAs'!Print_Titles</vt:lpstr>
      <vt:lpstr>PROVIDER</vt:lpstr>
      <vt:lpstr>SP_FT</vt:lpstr>
      <vt:lpstr>SP_PT</vt:lpstr>
      <vt:lpstr>SPDISPOP</vt:lpstr>
      <vt:lpstr>SPDSAALLOC</vt:lpstr>
      <vt:lpstr>SPSDALLOC</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Danny Shone [7003]</cp:lastModifiedBy>
  <cp:lastPrinted>2018-10-17T09:56:13Z</cp:lastPrinted>
  <dcterms:created xsi:type="dcterms:W3CDTF">1998-01-04T14:28:05Z</dcterms:created>
  <dcterms:modified xsi:type="dcterms:W3CDTF">2018-10-22T10:47:12Z</dcterms:modified>
</cp:coreProperties>
</file>